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820" activeTab="0"/>
  </bookViews>
  <sheets>
    <sheet name="ASH 2009" sheetId="1" r:id="rId1"/>
    <sheet name="CHOP-R" sheetId="2" r:id="rId2"/>
    <sheet name="Rituximab Protocolo" sheetId="3" r:id="rId3"/>
    <sheet name="Soporte" sheetId="4" r:id="rId4"/>
    <sheet name="Bendamustine - R" sheetId="5" r:id="rId5"/>
    <sheet name="FCR" sheetId="6" r:id="rId6"/>
    <sheet name="FC" sheetId="7" r:id="rId7"/>
    <sheet name="Fludarabina" sheetId="8" r:id="rId8"/>
    <sheet name="Clorambucilo" sheetId="9" r:id="rId9"/>
    <sheet name="VMP" sheetId="10" r:id="rId10"/>
    <sheet name="VTP" sheetId="11" r:id="rId11"/>
    <sheet name="VT" sheetId="12" r:id="rId12"/>
    <sheet name="VP" sheetId="13" r:id="rId13"/>
    <sheet name="MPR" sheetId="14" r:id="rId14"/>
    <sheet name="MP" sheetId="15" r:id="rId15"/>
    <sheet name="MPR-R" sheetId="16" r:id="rId16"/>
    <sheet name="VMPT" sheetId="17" r:id="rId17"/>
    <sheet name="Hoja1" sheetId="18" r:id="rId18"/>
  </sheets>
  <definedNames/>
  <calcPr fullCalcOnLoad="1"/>
</workbook>
</file>

<file path=xl/sharedStrings.xml><?xml version="1.0" encoding="utf-8"?>
<sst xmlns="http://schemas.openxmlformats.org/spreadsheetml/2006/main" count="1029" uniqueCount="229">
  <si>
    <t>Nilotinib 400 mg bid</t>
  </si>
  <si>
    <t>Imatinib 400 mg qs</t>
  </si>
  <si>
    <t>Leucemia linfoide crónica</t>
  </si>
  <si>
    <t>Clorambucilo</t>
  </si>
  <si>
    <t>Fludarabina</t>
  </si>
  <si>
    <t>Primera línea</t>
  </si>
  <si>
    <t>Segunda línea</t>
  </si>
  <si>
    <t>Leucemia mieloide crónica - ENESTnd</t>
  </si>
  <si>
    <t>Linfoma de bajo grado - STiL</t>
  </si>
  <si>
    <t>Fludarabina</t>
  </si>
  <si>
    <t>Alemtuzumab + Fludarabina</t>
  </si>
  <si>
    <t>Fludarabina + Ciclofosfamida (FC)</t>
  </si>
  <si>
    <t>FC + Rituximab</t>
  </si>
  <si>
    <t>CLL</t>
  </si>
  <si>
    <t>Rituximab + Fludarabina + Ciclofosfamida</t>
  </si>
  <si>
    <t>Hallek M, ASH 2009, Abstract 535</t>
  </si>
  <si>
    <t>Leucemia linfoide crónica - primera línea</t>
  </si>
  <si>
    <t>Ciclofosfamida</t>
  </si>
  <si>
    <t>Fludarabina</t>
  </si>
  <si>
    <t>Amp</t>
  </si>
  <si>
    <t>mg</t>
  </si>
  <si>
    <t>Ciclo número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</si>
  <si>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</si>
  <si>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</si>
  <si>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</si>
  <si>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</si>
  <si>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</si>
  <si>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</si>
  <si>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</si>
  <si>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</si>
  <si>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</si>
  <si>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</si>
  <si>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</si>
  <si>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</si>
  <si>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</si>
  <si>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</si>
  <si>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</si>
  <si>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</si>
  <si>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</si>
  <si>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</si>
  <si>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</si>
  <si>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</si>
  <si>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Vincristina</t>
  </si>
  <si>
    <t>Prednisolona</t>
  </si>
  <si>
    <t>Tab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</si>
  <si>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</si>
  <si>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>Tomar 100 mg (2 tabletas 50 mg), vía oral cada día</t>
  </si>
  <si>
    <t xml:space="preserve"> El programa calcula la superficie corporal </t>
  </si>
  <si>
    <t>BSA fórmula:</t>
  </si>
  <si>
    <t>0,20274*POTENCIA(C13/100;0,725)*POTENCIA(C14;0,425)</t>
  </si>
  <si>
    <t>Clorambucilo (de interés histórico)</t>
  </si>
  <si>
    <t>Clorambucilo</t>
  </si>
  <si>
    <t>Tabletas</t>
  </si>
  <si>
    <t>Vía oral, 30 minutos antes de la quimioterapia</t>
  </si>
  <si>
    <t>Vía oral, día 1</t>
  </si>
  <si>
    <t>Clorambucilo 40 mg/m2 día 1, cada 28 días, hasta por 12 meses</t>
  </si>
  <si>
    <t>Intravenoso, días 1, 2, y 3</t>
  </si>
  <si>
    <t>Intravenoso en 30 minutos, días 1, 2, y 3</t>
  </si>
  <si>
    <t>Ciclofaofamida 250 mg/m2, días 1, 2, 3. Cada 4 semanas, por 6 ciclos. Se suspende si no hay respuesta en ciclo 3</t>
  </si>
  <si>
    <t xml:space="preserve"> Fludarabina + Ciclofosfamida</t>
  </si>
  <si>
    <t>FC vs FCR en CLL, primera línea</t>
  </si>
  <si>
    <t>Fludarabina 25 mg/m2/día, días 1, 2, 3</t>
  </si>
  <si>
    <t>Rai KR, ASH 2009, Abstract 536</t>
  </si>
  <si>
    <t xml:space="preserve"> Fludarabina</t>
  </si>
  <si>
    <t>IV antes de quimioterapia, día 1, 2, 3, 4, y 5</t>
  </si>
  <si>
    <t>Intravenoso, días 1, 2, 3, 4, y 5</t>
  </si>
  <si>
    <t>Fludarabina 25 mg/m2/día, días 1, 2, 3, 4 y 5</t>
  </si>
  <si>
    <t>Cada 28 meses, hasta por 12 meses</t>
  </si>
  <si>
    <t>IV antes de quimioterapia, día 1 2 y 3</t>
  </si>
  <si>
    <t>Clorambucilo</t>
  </si>
  <si>
    <t>Fludarabina vs Clorambucilo en CLL</t>
  </si>
  <si>
    <t>Bendamustina 90 mg/m2/día, días 1 y 2, cada 21 días, por 6 ciclos. Rituximab 375 mg/m2/día 1, cada 21 días, por 6 ciclos.</t>
  </si>
  <si>
    <t>Calcula la superficie corporal en m2</t>
  </si>
  <si>
    <t>Rituximab + Bendamustina</t>
  </si>
  <si>
    <t>Calcula la superficie corporal en m2</t>
  </si>
  <si>
    <t>Ciclo 2-6: Rituximab 500 mg/m2</t>
  </si>
  <si>
    <t>Entrar la talla</t>
  </si>
  <si>
    <t>Entrar el peso</t>
  </si>
  <si>
    <t>Entrar la intensidad de dosis</t>
  </si>
  <si>
    <t>MM</t>
  </si>
  <si>
    <t>Melfalán + Prednisona + Bortezomib</t>
  </si>
  <si>
    <t>Palumbo A, ASH 2009, Abstract 613</t>
  </si>
  <si>
    <t>Mieloma múltiple en primera línea</t>
  </si>
  <si>
    <t>CLL</t>
  </si>
  <si>
    <t>Melfalán</t>
  </si>
  <si>
    <t>Tabletas</t>
  </si>
  <si>
    <t>Bortezomib</t>
  </si>
  <si>
    <t>San Miguel JF, ASH 2009, Abstract 650</t>
  </si>
  <si>
    <t>Vía oral cada día, días 1, 2, 3, y 4</t>
  </si>
  <si>
    <t>Prednisolona 60 mg/m2 días 1, 2, 3, y 4. Se inicia el segundo ciclo a las 6 semanas.</t>
  </si>
  <si>
    <t>Mieloma múltiple</t>
  </si>
  <si>
    <t>Primera línea</t>
  </si>
  <si>
    <t>Por 9 ciclos</t>
  </si>
  <si>
    <t>Talidomida</t>
  </si>
  <si>
    <t xml:space="preserve">Vía oral cada día </t>
  </si>
  <si>
    <t>(tomar 50 mg los días 1-14 del ciclo)</t>
  </si>
  <si>
    <t>VTP - Ciclo Número 1: Bortezomib 1.3 mg/m2, días 1, 4, 8, 11, 22, 25, 29 y 32; Melfalán 9 mg/m2 vía oral días 1, 2, 3, y 4</t>
  </si>
  <si>
    <t>Intravenosa día 1</t>
  </si>
  <si>
    <t>Posteriormente en el día 1</t>
  </si>
  <si>
    <t>Acetaminofen</t>
  </si>
  <si>
    <t>Difenhidramina</t>
  </si>
  <si>
    <t>En SSN 500 cc IV día 1 y administrar a 50 mg/h *</t>
  </si>
  <si>
    <t>Vía oral antes del rituximab, día 1</t>
  </si>
  <si>
    <t>IV antes del rituximab, día 1</t>
  </si>
  <si>
    <t>NHL</t>
  </si>
  <si>
    <t>CHOP-Rituximab</t>
  </si>
  <si>
    <t>Ciclofosfamida, Doxorrubicina, Vincristina, Prednisolona, Rituximab cada 21 días</t>
  </si>
  <si>
    <t>Onco-E-Zine</t>
  </si>
  <si>
    <t>Vol 1 - No. 1 - Enero 2010</t>
  </si>
  <si>
    <t>Vol 1 - No. 1 - Enero 2010</t>
  </si>
  <si>
    <t>ASH 2009</t>
  </si>
  <si>
    <t>ASH 2009</t>
  </si>
  <si>
    <t>Onco-E-Zine</t>
  </si>
  <si>
    <t>Rummel MJ, ASH 2009, Abstract 405</t>
  </si>
  <si>
    <t>Linfoma No Hodgkin - bajo grado</t>
  </si>
  <si>
    <t>Nilotinib 300 mg bid</t>
  </si>
  <si>
    <t>R-CHOP</t>
  </si>
  <si>
    <t>R Protocolo</t>
  </si>
  <si>
    <t>Soporte</t>
  </si>
  <si>
    <t>Bendamustina + Rituximab</t>
  </si>
  <si>
    <t>Bendamustina + Rituximab</t>
  </si>
  <si>
    <t>Bendamustina</t>
  </si>
  <si>
    <t>IV antes de quimioterapia, día 1 y 2</t>
  </si>
  <si>
    <t>IV antes de quimioterapia, día 1 y 2</t>
  </si>
  <si>
    <t>Intravenoso, día 1 y 2</t>
  </si>
  <si>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</si>
  <si>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</si>
  <si>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</si>
  <si>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</si>
  <si>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</si>
  <si>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</si>
  <si>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</si>
  <si>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</si>
  <si>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</si>
  <si>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</si>
  <si>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</si>
  <si>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</si>
  <si>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</si>
  <si>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</si>
  <si>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</si>
  <si>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VP: Bortezomib 1.3 mg/m2 días 1, 4, 8 y 11, Prednisona 50 mg vía oral cada otro día - días 1-90</t>
  </si>
  <si>
    <t>Tomar 1 tableta vía oral, cada otro día.</t>
  </si>
  <si>
    <t>Abstract 537</t>
  </si>
  <si>
    <t>Abstract 613</t>
  </si>
  <si>
    <t>MPR</t>
  </si>
  <si>
    <t>MP</t>
  </si>
  <si>
    <t>Melfalán + Prednisona + Lenalidomida</t>
  </si>
  <si>
    <t>MPR en primera línea</t>
  </si>
  <si>
    <t>Lenalidomida</t>
  </si>
  <si>
    <t>mg/kg</t>
  </si>
  <si>
    <t>Vía oral cada día, días 1-21</t>
  </si>
  <si>
    <t>Vía oral cada día, días 1-4</t>
  </si>
  <si>
    <t>MPR: Melfalán 0.18 mg/kg/día, días 1-4, Prednisona 2 mg/kg/día, días 1-4, Lenalidomida 10 mg vía oral cada día x21</t>
  </si>
  <si>
    <t>Se repite el ciclo cada 28 días, por 9 ciclos.</t>
  </si>
  <si>
    <t>Cápsulas</t>
  </si>
  <si>
    <t>MPR-R</t>
  </si>
  <si>
    <t>Melfalán + Prednisolona</t>
  </si>
  <si>
    <t>MP: Melfalán 0.18 mg/kg/día, días 1-4, Prednisona 2 mg/kg/día, días 1-4</t>
  </si>
  <si>
    <t xml:space="preserve">Se repite el ciclo cada 28 días, por 9 ciclos. </t>
  </si>
  <si>
    <t>MPR en primera línea, mantenimiento con lenalidomida</t>
  </si>
  <si>
    <t>Vincristina (1.4 mg/m2), Doxorrubicina (50 mg/m2), Ciclofosfamida (750 mg/m2), Prednisolona 500 mg cada 21 días</t>
  </si>
  <si>
    <t>Bases:</t>
  </si>
  <si>
    <t>Indicación</t>
  </si>
  <si>
    <t>NOMBRE PACIENTE (IDENTIFICACIÓN)</t>
  </si>
  <si>
    <t>Dosis</t>
  </si>
  <si>
    <t>para ser administrada en infusión intravenosa</t>
  </si>
  <si>
    <t>y si no hay efecto adverso aumentar en incrementos</t>
  </si>
  <si>
    <t xml:space="preserve">de 50 mg/hora cada 30 minutos </t>
  </si>
  <si>
    <t xml:space="preserve">[ Iniciar infusión a 50 mg/hora x 30 minutos, </t>
  </si>
  <si>
    <t xml:space="preserve">subir a 100 mg/hora x 30 minutos, </t>
  </si>
  <si>
    <t xml:space="preserve">subir a 150 mg/hora por 30 minutos, </t>
  </si>
  <si>
    <t>subir a 200 mg/hora por 30 minutos... etc ]</t>
  </si>
  <si>
    <t>[ NOTA: Si no hay efectos adversos se debe poder</t>
  </si>
  <si>
    <t>administrar la infusión completa, con los incrementos</t>
  </si>
  <si>
    <t>permitidos en unos 180 minutos ]</t>
  </si>
  <si>
    <t>iniciando a 50 mg/hora  por 30 minutos</t>
  </si>
  <si>
    <t>Rituximab (Mabthera) 375 mg/m2 en SSN 500 cc</t>
  </si>
  <si>
    <t>Rituximab</t>
  </si>
  <si>
    <t>* Se inicia a 50 mg/hora en infusión, y continuar incrementar a 50 mg/hora cada 30 minutos si no hay efectos adversos</t>
  </si>
  <si>
    <t>Rituximab 375 mg/m2 día 1</t>
  </si>
  <si>
    <t>CALGB 9011</t>
  </si>
  <si>
    <t>CLL8</t>
  </si>
  <si>
    <t>CAM314</t>
  </si>
  <si>
    <t>Ciclofaofamida 250 mg/m2, días 1, 2, 3. Cada 4 semanas, por 6 ciclos. Se suspende si no hay respuesta en ciclo 3</t>
  </si>
  <si>
    <t>Rituximab 375 mg/m2 (ciclo 1), 500 mg/m2 (ciclos 2.-5) día 1, fludarabina 25 mg/m2/día, días 1, 2, 3</t>
  </si>
  <si>
    <t>MPR-R: Melfalán 0.18 mg/kg/día, días 1-4, Prednisona 2 mg/kg/día, días 1-4, Lenalidomida 10 mg vía oral cada día x21</t>
  </si>
  <si>
    <t>Se repite el ciclo cada 28 días, por 9 ciclos. Lenalidomida 10 mg por 21 días, cada 28 de mantenimiento</t>
  </si>
  <si>
    <t>MP (de interés histórico)</t>
  </si>
  <si>
    <t>En fase crónica</t>
  </si>
  <si>
    <t>Palumbo A. ASH 2009, Abstract 128</t>
  </si>
  <si>
    <t>Abstract 128</t>
  </si>
  <si>
    <t>VMPT-VT</t>
  </si>
  <si>
    <t>Melfalán + Prednisona + Bortezomib + Talidomida</t>
  </si>
  <si>
    <t>VMPT seguido por VT en Mieloma múltiple, primera línea</t>
  </si>
  <si>
    <t>VMPT - Bortezomib 1.3 mg/m2, días 1, 8, 15, y 22; Melfalán 9 mg/m2 vía oral días 1, 2, 3, y 4</t>
  </si>
  <si>
    <t>Prednisolona 60 mg/m2 días 1, 2, 3, y 4. Cada 5 semanas, por 9.</t>
  </si>
  <si>
    <t>VT: Mantenimiento (ciclo 10 en adelante): Bortezomib 1.3 mg/m2, días 1 y 15, cada 28 días</t>
  </si>
  <si>
    <t>Talidomida 50 mg vía oral cada día.</t>
  </si>
  <si>
    <t>Por 9 ciclos*</t>
  </si>
  <si>
    <t>* Mantenimiento</t>
  </si>
  <si>
    <t>Talidomida 100 mg cada días (50 mg, día 1-14 de cada ciclo). Se inicia el segundo ciclo a las 6 semanas.</t>
  </si>
  <si>
    <t>Se repite cada 5 semanas.</t>
  </si>
  <si>
    <t xml:space="preserve">VTP - Ciclo Número 2 -9: Bortezomib 1.3 mg/m2, días 1, 8, 15, y 22; Melfalán y Talidomida igual al ciclo 1. </t>
  </si>
  <si>
    <t>VMP - Ciclo Número 1: Bortezomib 1.3 mg/m2, días 1, 4, 8, 11, 22, 25, 29 y 32; Melfalán 9 mg/m2 vía oral días 1, 2, 3, y 4</t>
  </si>
  <si>
    <t>VMP - Ciclo Número 2 -9: Bortezomib 1.3 mg/m2, días 1, 8, 15, y 22; Melfalán y Prednisona igual al ciclo 1</t>
  </si>
  <si>
    <t>VTP</t>
  </si>
  <si>
    <t>VMP</t>
  </si>
  <si>
    <t>Inducción</t>
  </si>
  <si>
    <t>Mantenimiento</t>
  </si>
  <si>
    <t>VT</t>
  </si>
  <si>
    <t>VP</t>
  </si>
  <si>
    <t>Por 3 años</t>
  </si>
  <si>
    <t>Melfalán + Talidomida+ Bortezomib</t>
  </si>
  <si>
    <t>VTP en primera línea</t>
  </si>
  <si>
    <t>VMP en primera línea</t>
  </si>
  <si>
    <t>Bortezomib + Talidomida de mantenimiento</t>
  </si>
  <si>
    <t>VT mantenimiento, primera línea</t>
  </si>
  <si>
    <t>Intravenoso, días 1, 4, 8, 11</t>
  </si>
  <si>
    <t>Tomar 1/2 tableta vía oral cada día (50 mg)</t>
  </si>
  <si>
    <t>Abstract 650</t>
  </si>
  <si>
    <t>Abstract 405</t>
  </si>
  <si>
    <t>Abstract 535</t>
  </si>
  <si>
    <t>Abstract 536</t>
  </si>
  <si>
    <t>Abstract LBA1</t>
  </si>
  <si>
    <t>VT: Bortezomib 1.3 mg/m2 días 1, 4, 8 y 11, Talidomida 50 mg vía oral cada día - días 1-90</t>
  </si>
  <si>
    <t>Se repite cada 3 meses por 3 años</t>
  </si>
  <si>
    <t>Bortezomib + Prednisona de mantenimiento</t>
  </si>
  <si>
    <t>VP mantenimiento, primera línea</t>
  </si>
  <si>
    <t>Prednisona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</si>
</sst>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Verdana"/>
      <family val="0"/>
    </font>
    <font>
      <sz val="7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9" fillId="3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1" fontId="0" fillId="17" borderId="0" xfId="0" applyNumberFormat="1" applyFill="1" applyBorder="1" applyAlignment="1">
      <alignment horizontal="center"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0" fontId="2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4" xfId="0" applyFill="1" applyBorder="1" applyAlignment="1">
      <alignment horizontal="center"/>
    </xf>
    <xf numFmtId="1" fontId="0" fillId="17" borderId="14" xfId="0" applyNumberFormat="1" applyFill="1" applyBorder="1" applyAlignment="1">
      <alignment horizontal="center"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 horizontal="center"/>
    </xf>
    <xf numFmtId="0" fontId="2" fillId="17" borderId="13" xfId="0" applyFont="1" applyFill="1" applyBorder="1" applyAlignment="1">
      <alignment/>
    </xf>
    <xf numFmtId="0" fontId="0" fillId="17" borderId="16" xfId="0" applyFill="1" applyBorder="1" applyAlignment="1">
      <alignment/>
    </xf>
    <xf numFmtId="1" fontId="0" fillId="17" borderId="16" xfId="0" applyNumberFormat="1" applyFill="1" applyBorder="1" applyAlignment="1">
      <alignment horizontal="center"/>
    </xf>
    <xf numFmtId="0" fontId="1" fillId="17" borderId="16" xfId="0" applyFont="1" applyFill="1" applyBorder="1" applyAlignment="1">
      <alignment/>
    </xf>
    <xf numFmtId="0" fontId="0" fillId="17" borderId="17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8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5" fillId="18" borderId="0" xfId="0" applyFont="1" applyFill="1" applyAlignment="1">
      <alignment horizontal="left"/>
    </xf>
    <xf numFmtId="0" fontId="6" fillId="18" borderId="0" xfId="0" applyFont="1" applyFill="1" applyAlignment="1">
      <alignment/>
    </xf>
    <xf numFmtId="0" fontId="6" fillId="18" borderId="0" xfId="0" applyFont="1" applyFill="1" applyAlignment="1">
      <alignment horizontal="right"/>
    </xf>
    <xf numFmtId="0" fontId="5" fillId="18" borderId="0" xfId="50" applyFont="1" applyFill="1" applyAlignment="1" applyProtection="1">
      <alignment horizontal="center"/>
      <protection/>
    </xf>
    <xf numFmtId="0" fontId="7" fillId="18" borderId="0" xfId="0" applyFont="1" applyFill="1" applyAlignment="1">
      <alignment horizontal="center"/>
    </xf>
    <xf numFmtId="0" fontId="0" fillId="19" borderId="0" xfId="0" applyFill="1" applyAlignment="1">
      <alignment/>
    </xf>
    <xf numFmtId="0" fontId="5" fillId="19" borderId="0" xfId="0" applyFont="1" applyFill="1" applyAlignment="1">
      <alignment horizontal="left"/>
    </xf>
    <xf numFmtId="0" fontId="7" fillId="19" borderId="0" xfId="0" applyFont="1" applyFill="1" applyAlignment="1">
      <alignment horizontal="center"/>
    </xf>
    <xf numFmtId="0" fontId="5" fillId="19" borderId="0" xfId="0" applyFont="1" applyFill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5" fillId="18" borderId="0" xfId="0" applyFont="1" applyFill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1" fontId="0" fillId="17" borderId="17" xfId="0" applyNumberFormat="1" applyFill="1" applyBorder="1" applyAlignment="1">
      <alignment horizontal="center"/>
    </xf>
    <xf numFmtId="0" fontId="1" fillId="17" borderId="0" xfId="0" applyFont="1" applyFill="1" applyBorder="1" applyAlignment="1">
      <alignment/>
    </xf>
    <xf numFmtId="0" fontId="1" fillId="17" borderId="16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3" fillId="0" borderId="0" xfId="50" applyAlignment="1" applyProtection="1">
      <alignment horizontal="center"/>
      <protection/>
    </xf>
    <xf numFmtId="0" fontId="3" fillId="0" borderId="0" xfId="50" applyFont="1" applyAlignment="1" applyProtection="1">
      <alignment horizontal="center"/>
      <protection/>
    </xf>
    <xf numFmtId="0" fontId="6" fillId="19" borderId="0" xfId="0" applyFont="1" applyFill="1" applyAlignment="1">
      <alignment horizontal="center"/>
    </xf>
    <xf numFmtId="0" fontId="0" fillId="17" borderId="13" xfId="0" applyFont="1" applyFill="1" applyBorder="1" applyAlignment="1">
      <alignment/>
    </xf>
    <xf numFmtId="1" fontId="2" fillId="17" borderId="0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7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18" borderId="0" xfId="0" applyFont="1" applyFill="1" applyAlignment="1">
      <alignment horizontal="right"/>
    </xf>
    <xf numFmtId="0" fontId="6" fillId="19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8" sqref="E38"/>
    </sheetView>
  </sheetViews>
  <sheetFormatPr defaultColWidth="11.421875" defaultRowHeight="12.75"/>
  <cols>
    <col min="1" max="1" width="12.28125" style="0" customWidth="1"/>
    <col min="5" max="7" width="11.421875" style="3" customWidth="1"/>
  </cols>
  <sheetData>
    <row r="1" spans="1:7" ht="15">
      <c r="A1" s="51"/>
      <c r="B1" s="51"/>
      <c r="C1" s="52"/>
      <c r="D1" s="53" t="s">
        <v>107</v>
      </c>
      <c r="E1" s="81"/>
      <c r="F1" s="81"/>
      <c r="G1" s="81"/>
    </row>
    <row r="2" spans="1:7" ht="12">
      <c r="A2" s="51"/>
      <c r="B2" s="51"/>
      <c r="C2" s="51"/>
      <c r="D2" s="54" t="s">
        <v>110</v>
      </c>
      <c r="E2" s="81"/>
      <c r="F2" s="81"/>
      <c r="G2" s="81"/>
    </row>
    <row r="3" spans="1:7" ht="12">
      <c r="A3" s="92" t="s">
        <v>108</v>
      </c>
      <c r="B3" s="92"/>
      <c r="C3" s="51"/>
      <c r="D3" s="51"/>
      <c r="E3" s="81"/>
      <c r="F3" s="81"/>
      <c r="G3" s="84"/>
    </row>
    <row r="4" spans="1:9" ht="12">
      <c r="A4" s="1" t="s">
        <v>7</v>
      </c>
      <c r="H4" s="1"/>
      <c r="I4" s="1"/>
    </row>
    <row r="5" spans="1:9" ht="12">
      <c r="A5" s="79" t="s">
        <v>223</v>
      </c>
      <c r="B5" s="1" t="s">
        <v>188</v>
      </c>
      <c r="H5" s="1"/>
      <c r="I5" s="1"/>
    </row>
    <row r="6" ht="12">
      <c r="B6" s="1" t="s">
        <v>115</v>
      </c>
    </row>
    <row r="7" ht="12">
      <c r="B7" s="58" t="s">
        <v>0</v>
      </c>
    </row>
    <row r="8" ht="12">
      <c r="B8" s="58" t="s">
        <v>1</v>
      </c>
    </row>
    <row r="9" ht="12">
      <c r="A9" s="1" t="s">
        <v>8</v>
      </c>
    </row>
    <row r="10" spans="1:2" ht="12">
      <c r="A10" s="79" t="s">
        <v>220</v>
      </c>
      <c r="B10" s="1" t="s">
        <v>91</v>
      </c>
    </row>
    <row r="11" spans="2:7" ht="12">
      <c r="B11" t="s">
        <v>116</v>
      </c>
      <c r="E11" s="82" t="s">
        <v>164</v>
      </c>
      <c r="F11" s="82" t="s">
        <v>117</v>
      </c>
      <c r="G11" s="82" t="s">
        <v>118</v>
      </c>
    </row>
    <row r="12" spans="2:5" ht="12">
      <c r="B12" s="1" t="s">
        <v>73</v>
      </c>
      <c r="C12" s="1"/>
      <c r="E12" s="82" t="s">
        <v>164</v>
      </c>
    </row>
    <row r="13" ht="12">
      <c r="A13" s="1" t="s">
        <v>2</v>
      </c>
    </row>
    <row r="14" ht="12">
      <c r="B14" s="1" t="s">
        <v>5</v>
      </c>
    </row>
    <row r="15" spans="1:2" ht="12">
      <c r="A15" s="79" t="s">
        <v>222</v>
      </c>
      <c r="B15" s="1" t="s">
        <v>180</v>
      </c>
    </row>
    <row r="16" spans="2:5" ht="12">
      <c r="B16" t="s">
        <v>3</v>
      </c>
      <c r="E16" s="82" t="s">
        <v>164</v>
      </c>
    </row>
    <row r="17" spans="2:5" ht="12">
      <c r="B17" s="1" t="s">
        <v>9</v>
      </c>
      <c r="E17" s="82" t="s">
        <v>164</v>
      </c>
    </row>
    <row r="18" spans="1:2" ht="12">
      <c r="A18" s="79" t="s">
        <v>221</v>
      </c>
      <c r="B18" s="1" t="s">
        <v>181</v>
      </c>
    </row>
    <row r="19" spans="2:5" ht="12">
      <c r="B19" t="s">
        <v>11</v>
      </c>
      <c r="E19" s="82" t="s">
        <v>164</v>
      </c>
    </row>
    <row r="20" spans="2:5" ht="12">
      <c r="B20" s="1" t="s">
        <v>12</v>
      </c>
      <c r="E20" s="82" t="s">
        <v>164</v>
      </c>
    </row>
    <row r="21" spans="1:2" ht="12">
      <c r="A21" s="79" t="s">
        <v>142</v>
      </c>
      <c r="B21" s="1" t="s">
        <v>182</v>
      </c>
    </row>
    <row r="22" ht="12">
      <c r="B22" s="1" t="s">
        <v>6</v>
      </c>
    </row>
    <row r="23" spans="2:5" ht="12">
      <c r="B23" t="s">
        <v>4</v>
      </c>
      <c r="E23" s="82" t="s">
        <v>164</v>
      </c>
    </row>
    <row r="24" ht="12">
      <c r="B24" s="1" t="s">
        <v>10</v>
      </c>
    </row>
    <row r="25" ht="12">
      <c r="A25" s="1" t="s">
        <v>90</v>
      </c>
    </row>
    <row r="26" spans="1:2" ht="12">
      <c r="A26" s="79" t="s">
        <v>219</v>
      </c>
      <c r="B26" s="1" t="s">
        <v>91</v>
      </c>
    </row>
    <row r="27" ht="12">
      <c r="B27" s="1" t="s">
        <v>207</v>
      </c>
    </row>
    <row r="28" spans="2:5" ht="12">
      <c r="B28" s="1" t="s">
        <v>206</v>
      </c>
      <c r="D28" s="18" t="s">
        <v>92</v>
      </c>
      <c r="E28" s="83" t="s">
        <v>164</v>
      </c>
    </row>
    <row r="29" spans="2:5" ht="12">
      <c r="B29" s="73" t="s">
        <v>205</v>
      </c>
      <c r="D29" s="18" t="s">
        <v>92</v>
      </c>
      <c r="E29" s="83" t="s">
        <v>164</v>
      </c>
    </row>
    <row r="30" spans="2:4" ht="12">
      <c r="B30" s="1" t="s">
        <v>208</v>
      </c>
      <c r="D30" s="18"/>
    </row>
    <row r="31" spans="2:5" ht="12">
      <c r="B31" s="1" t="s">
        <v>209</v>
      </c>
      <c r="D31" s="18" t="s">
        <v>211</v>
      </c>
      <c r="E31" s="83" t="s">
        <v>164</v>
      </c>
    </row>
    <row r="32" spans="2:5" ht="12">
      <c r="B32" s="73" t="s">
        <v>210</v>
      </c>
      <c r="D32" s="18" t="s">
        <v>211</v>
      </c>
      <c r="E32" s="83" t="s">
        <v>164</v>
      </c>
    </row>
    <row r="33" spans="1:4" ht="12">
      <c r="A33" s="79" t="s">
        <v>143</v>
      </c>
      <c r="B33" s="1" t="s">
        <v>91</v>
      </c>
      <c r="D33" s="18"/>
    </row>
    <row r="34" spans="2:5" ht="12">
      <c r="B34" s="1" t="s">
        <v>155</v>
      </c>
      <c r="D34" s="18" t="s">
        <v>198</v>
      </c>
      <c r="E34" s="82" t="s">
        <v>164</v>
      </c>
    </row>
    <row r="35" spans="2:5" ht="12">
      <c r="B35" s="73" t="s">
        <v>144</v>
      </c>
      <c r="D35" s="18" t="s">
        <v>92</v>
      </c>
      <c r="E35" s="83" t="s">
        <v>164</v>
      </c>
    </row>
    <row r="36" spans="2:5" ht="12">
      <c r="B36" s="73" t="s">
        <v>145</v>
      </c>
      <c r="D36" s="18" t="s">
        <v>92</v>
      </c>
      <c r="E36" s="82" t="s">
        <v>164</v>
      </c>
    </row>
    <row r="37" spans="1:2" ht="12">
      <c r="A37" s="79" t="s">
        <v>190</v>
      </c>
      <c r="B37" s="1" t="s">
        <v>91</v>
      </c>
    </row>
    <row r="38" spans="2:5" ht="12">
      <c r="B38" s="1" t="s">
        <v>191</v>
      </c>
      <c r="D38" s="18" t="s">
        <v>198</v>
      </c>
      <c r="E38" s="82" t="s">
        <v>164</v>
      </c>
    </row>
    <row r="39" spans="2:5" ht="12">
      <c r="B39" s="2" t="s">
        <v>206</v>
      </c>
      <c r="D39" s="18" t="s">
        <v>92</v>
      </c>
      <c r="E39" s="82" t="s">
        <v>164</v>
      </c>
    </row>
    <row r="40" ht="12">
      <c r="B40" s="2" t="s">
        <v>199</v>
      </c>
    </row>
  </sheetData>
  <sheetProtection/>
  <mergeCells count="1">
    <mergeCell ref="A3:B3"/>
  </mergeCells>
  <hyperlinks>
    <hyperlink ref="E11" location="'CHOP-R'!A1" display="Dosis"/>
    <hyperlink ref="F11" location="'Rituximab Protocolo'!A1" display="R Protocolo"/>
    <hyperlink ref="G11" location="Soporte!A1" display="Soporte"/>
    <hyperlink ref="E12" location="'Bendamustine - R'!A1" display="Dosis"/>
    <hyperlink ref="E20" location="FCR!A1" display="Dosis"/>
    <hyperlink ref="E19" location="FC!A1" display="Dosis"/>
    <hyperlink ref="E17" location="Fludarabina!A1" display="Dosis"/>
    <hyperlink ref="E23" location="Fludarabina!A1" display="Dosis"/>
    <hyperlink ref="E16" location="Clorambucilo!A1" display="Dosis"/>
    <hyperlink ref="E28" location="VMP!A1" display="Dosis"/>
    <hyperlink ref="E29" location="VTP!A1" display="Dosis"/>
    <hyperlink ref="E31" location="VT!A1" display="Dosis"/>
    <hyperlink ref="E32" location="VP!A1" display="Dosis"/>
    <hyperlink ref="E35" location="MPR!A1" display="Dosis"/>
    <hyperlink ref="E34" location="'MPR-R'!A1" display="Dosis"/>
    <hyperlink ref="E36" location="MP!A1" display="Dosis"/>
    <hyperlink ref="E38" location="VMPT!A1" display="Dosis"/>
    <hyperlink ref="E39" location="VMP!A1" display="Dosi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83</v>
      </c>
    </row>
    <row r="4" ht="12">
      <c r="A4" s="1" t="s">
        <v>163</v>
      </c>
    </row>
    <row r="5" spans="1:3" ht="12">
      <c r="A5" t="s">
        <v>125</v>
      </c>
      <c r="C5" s="1" t="s">
        <v>80</v>
      </c>
    </row>
    <row r="6" spans="1:3" ht="12">
      <c r="A6" t="s">
        <v>126</v>
      </c>
      <c r="C6" s="65" t="s">
        <v>214</v>
      </c>
    </row>
    <row r="7" spans="1:3" ht="12.75">
      <c r="A7" t="s">
        <v>127</v>
      </c>
      <c r="C7" s="75" t="s">
        <v>87</v>
      </c>
    </row>
    <row r="8" spans="1:3" ht="12">
      <c r="A8" t="s">
        <v>162</v>
      </c>
      <c r="C8" s="73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73" t="s">
        <v>84</v>
      </c>
      <c r="B11" s="74" t="s">
        <v>85</v>
      </c>
      <c r="C11" s="7">
        <v>2</v>
      </c>
      <c r="D11" s="3" t="s">
        <v>20</v>
      </c>
    </row>
    <row r="12" spans="1:4" ht="12">
      <c r="A12" s="73" t="s">
        <v>43</v>
      </c>
      <c r="B12" s="74" t="s">
        <v>85</v>
      </c>
      <c r="C12" s="7">
        <v>50</v>
      </c>
      <c r="D12" s="3" t="s">
        <v>26</v>
      </c>
    </row>
    <row r="13" spans="1:4" ht="12">
      <c r="A13" s="73" t="s">
        <v>86</v>
      </c>
      <c r="B13" s="9" t="s">
        <v>129</v>
      </c>
      <c r="C13" s="7">
        <v>3.5</v>
      </c>
      <c r="D13" s="3" t="s">
        <v>26</v>
      </c>
    </row>
    <row r="14" spans="1:5" ht="12">
      <c r="A14" s="59" t="s">
        <v>37</v>
      </c>
      <c r="B14" s="60"/>
      <c r="C14" s="61">
        <v>160</v>
      </c>
      <c r="E14" s="70" t="s">
        <v>39</v>
      </c>
    </row>
    <row r="15" spans="1:5" ht="12">
      <c r="A15" s="59" t="s">
        <v>38</v>
      </c>
      <c r="B15" s="60"/>
      <c r="C15" s="61">
        <v>56</v>
      </c>
      <c r="E15" s="71" t="s">
        <v>40</v>
      </c>
    </row>
    <row r="16" spans="1:5" ht="12">
      <c r="A16" s="59" t="s">
        <v>134</v>
      </c>
      <c r="B16" s="60"/>
      <c r="C16" s="62">
        <f>0.20274*POWER(C14/100,0.725)*POWER(C15,0.425)</f>
        <v>1.5772710824040208</v>
      </c>
      <c r="E16" s="72" t="s">
        <v>74</v>
      </c>
    </row>
    <row r="17" spans="1:5" ht="12">
      <c r="A17" s="59" t="s">
        <v>135</v>
      </c>
      <c r="B17" s="60"/>
      <c r="C17" s="61">
        <v>100</v>
      </c>
      <c r="E17" s="70" t="s">
        <v>41</v>
      </c>
    </row>
    <row r="18" spans="1:5" ht="12">
      <c r="A18" s="59" t="s">
        <v>21</v>
      </c>
      <c r="B18" s="60"/>
      <c r="C18" s="61">
        <v>1</v>
      </c>
      <c r="E18" s="72"/>
    </row>
    <row r="19" ht="12">
      <c r="A19" s="1" t="s">
        <v>136</v>
      </c>
    </row>
    <row r="20" spans="1:6" ht="12">
      <c r="A20" t="s">
        <v>130</v>
      </c>
      <c r="B20" s="3" t="s">
        <v>137</v>
      </c>
      <c r="C20" s="3" t="s">
        <v>138</v>
      </c>
      <c r="D20" s="15" t="s">
        <v>139</v>
      </c>
      <c r="E20" s="3" t="s">
        <v>22</v>
      </c>
      <c r="F20" s="3" t="s">
        <v>23</v>
      </c>
    </row>
    <row r="21" spans="1:6" ht="12">
      <c r="A21" t="str">
        <f>+A11</f>
        <v>Melfalán</v>
      </c>
      <c r="B21" s="7">
        <v>9</v>
      </c>
      <c r="C21" s="4">
        <f>+B21*$C$16</f>
        <v>14.195439741636187</v>
      </c>
      <c r="D21" s="4">
        <f>+C21*$C$17/100</f>
        <v>14.195439741636187</v>
      </c>
      <c r="E21" s="8">
        <f>+D21/C11</f>
        <v>7.097719870818094</v>
      </c>
      <c r="F21" s="4">
        <f>IF(INT(E21)=E21,E21,INT(E21)+1)*4</f>
        <v>32</v>
      </c>
    </row>
    <row r="22" spans="1:6" ht="12">
      <c r="A22" t="str">
        <f>+$A$12</f>
        <v>Prednisolona</v>
      </c>
      <c r="B22" s="7">
        <v>60</v>
      </c>
      <c r="C22" s="4">
        <f>+B22*$C$16</f>
        <v>94.63626494424125</v>
      </c>
      <c r="D22" s="4">
        <f>+C22*$C$17/100</f>
        <v>94.63626494424125</v>
      </c>
      <c r="E22" s="8">
        <f>+D22/C12</f>
        <v>1.8927252988848249</v>
      </c>
      <c r="F22" s="4">
        <f>IF(INT(E22)=E22,E22,INT(E22)+1)*4</f>
        <v>8</v>
      </c>
    </row>
    <row r="23" spans="1:6" ht="12.75" thickBot="1">
      <c r="A23" t="str">
        <f>+A13</f>
        <v>Bortezomib</v>
      </c>
      <c r="B23" s="7">
        <v>1.3</v>
      </c>
      <c r="C23" s="4">
        <f>+B23*$C$16</f>
        <v>2.0504524071252272</v>
      </c>
      <c r="D23" s="4">
        <f>+C23*$C$17/100</f>
        <v>2.0504524071252272</v>
      </c>
      <c r="E23" s="8">
        <f>+D23/C13</f>
        <v>0.5858435448929221</v>
      </c>
      <c r="F23" s="4">
        <f>IF(C18=1,(IF(INT(E23)=E23,E23,INT(E23)+1)*8),(IF(INT(E23)=E23,E23,INT(E23)+1)*4))</f>
        <v>8</v>
      </c>
    </row>
    <row r="24" spans="1:5" ht="12.75" thickTop="1">
      <c r="A24" s="21" t="s">
        <v>24</v>
      </c>
      <c r="B24" s="22"/>
      <c r="C24" s="23"/>
      <c r="D24" s="23"/>
      <c r="E24" s="24"/>
    </row>
    <row r="25" spans="1:5" ht="12">
      <c r="A25" s="25" t="s">
        <v>130</v>
      </c>
      <c r="B25" s="11" t="s">
        <v>131</v>
      </c>
      <c r="C25" s="11" t="s">
        <v>29</v>
      </c>
      <c r="D25" s="11" t="s">
        <v>30</v>
      </c>
      <c r="E25" s="27" t="s">
        <v>25</v>
      </c>
    </row>
    <row r="26" spans="1:5" ht="12">
      <c r="A26" s="25" t="str">
        <f>+A11</f>
        <v>Melfalán</v>
      </c>
      <c r="B26" s="11" t="str">
        <f>+B11</f>
        <v>Tabletas</v>
      </c>
      <c r="C26" s="11">
        <f>+C11</f>
        <v>2</v>
      </c>
      <c r="D26" s="11" t="str">
        <f>+D11</f>
        <v>mg</v>
      </c>
      <c r="E26" s="28">
        <f>+F21</f>
        <v>32</v>
      </c>
    </row>
    <row r="27" spans="1:5" ht="12">
      <c r="A27" s="25" t="str">
        <f>+$A$12</f>
        <v>Prednisolona</v>
      </c>
      <c r="B27" s="11" t="str">
        <f aca="true" t="shared" si="0" ref="B27:D28">+B12</f>
        <v>Tabletas</v>
      </c>
      <c r="C27" s="11">
        <f t="shared" si="0"/>
        <v>50</v>
      </c>
      <c r="D27" s="11" t="str">
        <f t="shared" si="0"/>
        <v>mg</v>
      </c>
      <c r="E27" s="27">
        <f>+F22</f>
        <v>8</v>
      </c>
    </row>
    <row r="28" spans="1:5" ht="12.75" thickBot="1">
      <c r="A28" s="29" t="str">
        <f>+A13</f>
        <v>Bortezomib</v>
      </c>
      <c r="B28" s="30" t="str">
        <f t="shared" si="0"/>
        <v>Amp</v>
      </c>
      <c r="C28" s="30">
        <f t="shared" si="0"/>
        <v>3.5</v>
      </c>
      <c r="D28" s="30" t="str">
        <f t="shared" si="0"/>
        <v>mg</v>
      </c>
      <c r="E28" s="76">
        <f>+F23</f>
        <v>8</v>
      </c>
    </row>
    <row r="29" spans="1:6" ht="13.5" thickBot="1" thickTop="1">
      <c r="A29" s="56"/>
      <c r="B29" s="57"/>
      <c r="C29" s="57"/>
      <c r="D29" s="57"/>
      <c r="E29" s="57"/>
      <c r="F29" s="56"/>
    </row>
    <row r="30" spans="1:6" ht="12.75" thickTop="1">
      <c r="A30" s="21" t="s">
        <v>31</v>
      </c>
      <c r="B30" s="23"/>
      <c r="C30" s="23"/>
      <c r="D30" s="23"/>
      <c r="E30" s="23"/>
      <c r="F30" s="24"/>
    </row>
    <row r="31" spans="1:6" ht="12">
      <c r="A31" s="31" t="s">
        <v>32</v>
      </c>
      <c r="B31" s="14" t="s">
        <v>164</v>
      </c>
      <c r="C31" s="14" t="s">
        <v>30</v>
      </c>
      <c r="D31" s="13" t="s">
        <v>126</v>
      </c>
      <c r="E31" s="10"/>
      <c r="F31" s="26"/>
    </row>
    <row r="32" spans="1:6" ht="12">
      <c r="A32" s="25" t="str">
        <f>+A28</f>
        <v>Bortezomib</v>
      </c>
      <c r="B32" s="12">
        <f>+D23</f>
        <v>2.0504524071252272</v>
      </c>
      <c r="C32" s="11" t="str">
        <f>+D13</f>
        <v>mg</v>
      </c>
      <c r="D32" s="77" t="str">
        <f>+IF(C18=1,"Intravenoso días 1, 4, 8, 11, 22, 25, 29, 32","Intravenoso días 1, 8, 15, y 22")</f>
        <v>Intravenoso días 1, 4, 8, 11, 22, 25, 29, 32</v>
      </c>
      <c r="E32" s="16"/>
      <c r="F32" s="26"/>
    </row>
    <row r="33" spans="1:6" ht="12">
      <c r="A33" s="25" t="str">
        <f>+A12</f>
        <v>Prednisolona</v>
      </c>
      <c r="B33" s="12">
        <f>+D22</f>
        <v>94.63626494424125</v>
      </c>
      <c r="C33" s="11" t="str">
        <f>+D12</f>
        <v>mg</v>
      </c>
      <c r="D33" s="77" t="s">
        <v>88</v>
      </c>
      <c r="E33" s="16"/>
      <c r="F33" s="26"/>
    </row>
    <row r="34" spans="1:6" ht="12.75" thickBot="1">
      <c r="A34" s="29" t="str">
        <f>+A11</f>
        <v>Melfalán</v>
      </c>
      <c r="B34" s="33">
        <f>+D21</f>
        <v>14.195439741636187</v>
      </c>
      <c r="C34" s="30" t="str">
        <f>+D11</f>
        <v>mg</v>
      </c>
      <c r="D34" s="78" t="s">
        <v>88</v>
      </c>
      <c r="E34" s="34"/>
      <c r="F34" s="35"/>
    </row>
    <row r="35" ht="12.75" thickTop="1">
      <c r="A35" s="66" t="s">
        <v>203</v>
      </c>
    </row>
    <row r="36" ht="12">
      <c r="A36" s="66" t="s">
        <v>89</v>
      </c>
    </row>
    <row r="37" ht="12">
      <c r="A37" s="66" t="s">
        <v>204</v>
      </c>
    </row>
    <row r="38" spans="1:256" ht="12">
      <c r="A38" s="66" t="s">
        <v>201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" ht="12">
      <c r="A39" s="18" t="s">
        <v>48</v>
      </c>
      <c r="B39" s="18" t="s">
        <v>49</v>
      </c>
    </row>
    <row r="40" ht="12">
      <c r="A40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F3"/>
    </sheetView>
  </sheetViews>
  <sheetFormatPr defaultColWidth="11.421875" defaultRowHeight="12.75"/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79</v>
      </c>
    </row>
    <row r="4" ht="12">
      <c r="A4" s="1" t="s">
        <v>163</v>
      </c>
    </row>
    <row r="5" spans="1:3" ht="12">
      <c r="A5" t="s">
        <v>125</v>
      </c>
      <c r="C5" s="1" t="s">
        <v>212</v>
      </c>
    </row>
    <row r="6" spans="1:3" ht="12">
      <c r="A6" t="s">
        <v>126</v>
      </c>
      <c r="C6" s="65" t="s">
        <v>213</v>
      </c>
    </row>
    <row r="7" spans="1:3" ht="12.75">
      <c r="A7" t="s">
        <v>127</v>
      </c>
      <c r="C7" s="75" t="s">
        <v>87</v>
      </c>
    </row>
    <row r="8" spans="1:3" ht="12">
      <c r="A8" t="s">
        <v>162</v>
      </c>
      <c r="C8" s="73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73" t="s">
        <v>84</v>
      </c>
      <c r="B11" s="74" t="s">
        <v>85</v>
      </c>
      <c r="C11" s="7">
        <v>2</v>
      </c>
      <c r="D11" s="3" t="s">
        <v>20</v>
      </c>
    </row>
    <row r="12" spans="1:4" ht="12">
      <c r="A12" s="73" t="s">
        <v>93</v>
      </c>
      <c r="B12" s="74" t="s">
        <v>85</v>
      </c>
      <c r="C12" s="7">
        <v>100</v>
      </c>
      <c r="D12" s="3" t="s">
        <v>26</v>
      </c>
    </row>
    <row r="13" spans="1:4" ht="12">
      <c r="A13" s="73" t="s">
        <v>86</v>
      </c>
      <c r="B13" s="9" t="s">
        <v>129</v>
      </c>
      <c r="C13" s="7">
        <v>3.5</v>
      </c>
      <c r="D13" s="3" t="s">
        <v>26</v>
      </c>
    </row>
    <row r="14" spans="1:5" ht="12">
      <c r="A14" s="59" t="s">
        <v>37</v>
      </c>
      <c r="B14" s="60"/>
      <c r="C14" s="61">
        <v>160</v>
      </c>
      <c r="E14" s="70" t="s">
        <v>39</v>
      </c>
    </row>
    <row r="15" spans="1:5" ht="12">
      <c r="A15" s="59" t="s">
        <v>38</v>
      </c>
      <c r="B15" s="60"/>
      <c r="C15" s="61">
        <v>56</v>
      </c>
      <c r="E15" s="71" t="s">
        <v>40</v>
      </c>
    </row>
    <row r="16" spans="1:5" ht="12">
      <c r="A16" s="59" t="s">
        <v>134</v>
      </c>
      <c r="B16" s="60"/>
      <c r="C16" s="62">
        <f>0.20274*POWER(C14/100,0.725)*POWER(C15,0.425)</f>
        <v>1.5772710824040208</v>
      </c>
      <c r="E16" s="72" t="s">
        <v>74</v>
      </c>
    </row>
    <row r="17" spans="1:5" ht="12">
      <c r="A17" s="59" t="s">
        <v>135</v>
      </c>
      <c r="B17" s="60"/>
      <c r="C17" s="61">
        <v>100</v>
      </c>
      <c r="E17" s="70" t="s">
        <v>41</v>
      </c>
    </row>
    <row r="18" spans="1:5" ht="12">
      <c r="A18" s="59" t="s">
        <v>21</v>
      </c>
      <c r="B18" s="60"/>
      <c r="C18" s="61">
        <v>1</v>
      </c>
      <c r="E18" s="72"/>
    </row>
    <row r="19" ht="12">
      <c r="A19" s="1" t="s">
        <v>136</v>
      </c>
    </row>
    <row r="20" spans="1:6" ht="12">
      <c r="A20" t="s">
        <v>130</v>
      </c>
      <c r="B20" s="3" t="s">
        <v>137</v>
      </c>
      <c r="C20" s="3" t="s">
        <v>138</v>
      </c>
      <c r="D20" s="15" t="s">
        <v>139</v>
      </c>
      <c r="E20" s="3" t="s">
        <v>22</v>
      </c>
      <c r="F20" s="3" t="s">
        <v>23</v>
      </c>
    </row>
    <row r="21" spans="1:6" ht="12">
      <c r="A21" t="str">
        <f>+A11</f>
        <v>Melfalán</v>
      </c>
      <c r="B21" s="7">
        <v>9</v>
      </c>
      <c r="C21" s="4">
        <f>+B21*$C$16</f>
        <v>14.195439741636187</v>
      </c>
      <c r="D21" s="4">
        <f>+C21*$C$17/100</f>
        <v>14.195439741636187</v>
      </c>
      <c r="E21" s="8">
        <f>+D21/C11</f>
        <v>7.097719870818094</v>
      </c>
      <c r="F21" s="4">
        <f>IF(INT(E21)=E21,E21,INT(E21)+1)*4</f>
        <v>32</v>
      </c>
    </row>
    <row r="22" spans="1:6" ht="12">
      <c r="A22" t="str">
        <f>+$A$12</f>
        <v>Talidomida</v>
      </c>
      <c r="B22" s="7">
        <v>100</v>
      </c>
      <c r="C22" s="4">
        <v>100</v>
      </c>
      <c r="D22" s="4">
        <f>+C22*$C$17/100</f>
        <v>100</v>
      </c>
      <c r="E22" s="8">
        <f>+D22/C12</f>
        <v>1</v>
      </c>
      <c r="F22" s="4">
        <f>+IF(C18=1,42,35)</f>
        <v>42</v>
      </c>
    </row>
    <row r="23" spans="1:6" ht="12.75" thickBot="1">
      <c r="A23" t="str">
        <f>+A13</f>
        <v>Bortezomib</v>
      </c>
      <c r="B23" s="7">
        <v>1.3</v>
      </c>
      <c r="C23" s="4">
        <f>+B23*$C$16</f>
        <v>2.0504524071252272</v>
      </c>
      <c r="D23" s="4">
        <f>+C23*$C$17/100</f>
        <v>2.0504524071252272</v>
      </c>
      <c r="E23" s="8">
        <f>+D23/C13</f>
        <v>0.5858435448929221</v>
      </c>
      <c r="F23" s="4">
        <f>IF(C18=1,(IF(INT(E23)=E23,E23,INT(E23)+1)*8),(IF(INT(E23)=E23,E23,INT(E23)+1)*4))</f>
        <v>8</v>
      </c>
    </row>
    <row r="24" spans="1:5" ht="12.75" thickTop="1">
      <c r="A24" s="21" t="s">
        <v>24</v>
      </c>
      <c r="B24" s="22"/>
      <c r="C24" s="23"/>
      <c r="D24" s="23"/>
      <c r="E24" s="24"/>
    </row>
    <row r="25" spans="1:5" ht="12">
      <c r="A25" s="25" t="s">
        <v>130</v>
      </c>
      <c r="B25" s="11" t="s">
        <v>131</v>
      </c>
      <c r="C25" s="11" t="s">
        <v>29</v>
      </c>
      <c r="D25" s="11" t="s">
        <v>30</v>
      </c>
      <c r="E25" s="27" t="s">
        <v>25</v>
      </c>
    </row>
    <row r="26" spans="1:5" ht="12">
      <c r="A26" s="25" t="str">
        <f>+A11</f>
        <v>Melfalán</v>
      </c>
      <c r="B26" s="11" t="str">
        <f>+B11</f>
        <v>Tabletas</v>
      </c>
      <c r="C26" s="11">
        <f>+C11</f>
        <v>2</v>
      </c>
      <c r="D26" s="11" t="str">
        <f>+D11</f>
        <v>mg</v>
      </c>
      <c r="E26" s="28">
        <f>+F21</f>
        <v>32</v>
      </c>
    </row>
    <row r="27" spans="1:5" ht="12">
      <c r="A27" s="25" t="str">
        <f>+$A$12</f>
        <v>Talidomida</v>
      </c>
      <c r="B27" s="11" t="str">
        <f aca="true" t="shared" si="0" ref="B27:D28">+B12</f>
        <v>Tabletas</v>
      </c>
      <c r="C27" s="11">
        <f t="shared" si="0"/>
        <v>100</v>
      </c>
      <c r="D27" s="11" t="str">
        <f t="shared" si="0"/>
        <v>mg</v>
      </c>
      <c r="E27" s="27">
        <f>+F22</f>
        <v>42</v>
      </c>
    </row>
    <row r="28" spans="1:5" ht="12.75" thickBot="1">
      <c r="A28" s="29" t="str">
        <f>+A13</f>
        <v>Bortezomib</v>
      </c>
      <c r="B28" s="30" t="str">
        <f t="shared" si="0"/>
        <v>Amp</v>
      </c>
      <c r="C28" s="30">
        <f t="shared" si="0"/>
        <v>3.5</v>
      </c>
      <c r="D28" s="30" t="str">
        <f t="shared" si="0"/>
        <v>mg</v>
      </c>
      <c r="E28" s="76">
        <f>+F23</f>
        <v>8</v>
      </c>
    </row>
    <row r="29" spans="1:6" ht="13.5" thickBot="1" thickTop="1">
      <c r="A29" s="56"/>
      <c r="B29" s="57"/>
      <c r="C29" s="57"/>
      <c r="D29" s="57"/>
      <c r="E29" s="57"/>
      <c r="F29" s="56"/>
    </row>
    <row r="30" spans="1:6" ht="12.75" thickTop="1">
      <c r="A30" s="21" t="s">
        <v>31</v>
      </c>
      <c r="B30" s="23"/>
      <c r="C30" s="23"/>
      <c r="D30" s="23"/>
      <c r="E30" s="23"/>
      <c r="F30" s="24"/>
    </row>
    <row r="31" spans="1:6" ht="12">
      <c r="A31" s="31" t="s">
        <v>32</v>
      </c>
      <c r="B31" s="14" t="s">
        <v>164</v>
      </c>
      <c r="C31" s="14" t="s">
        <v>30</v>
      </c>
      <c r="D31" s="13" t="s">
        <v>126</v>
      </c>
      <c r="E31" s="10"/>
      <c r="F31" s="26"/>
    </row>
    <row r="32" spans="1:6" ht="12">
      <c r="A32" s="25" t="str">
        <f>+A28</f>
        <v>Bortezomib</v>
      </c>
      <c r="B32" s="12">
        <f>+D23</f>
        <v>2.0504524071252272</v>
      </c>
      <c r="C32" s="11" t="str">
        <f>+D13</f>
        <v>mg</v>
      </c>
      <c r="D32" s="77" t="str">
        <f>+IF(C18=1,"Intravenoso días 1, 4, 8, 11, 22, 25, 29, 32","Intravenoso días 1, 8, 15, y 22")</f>
        <v>Intravenoso días 1, 4, 8, 11, 22, 25, 29, 32</v>
      </c>
      <c r="E32" s="16"/>
      <c r="F32" s="26"/>
    </row>
    <row r="33" spans="1:6" ht="12">
      <c r="A33" s="25" t="str">
        <f>+A12</f>
        <v>Talidomida</v>
      </c>
      <c r="B33" s="12">
        <f>+D22</f>
        <v>100</v>
      </c>
      <c r="C33" s="11" t="str">
        <f>+D12</f>
        <v>mg</v>
      </c>
      <c r="D33" s="77" t="s">
        <v>94</v>
      </c>
      <c r="E33" s="16"/>
      <c r="F33" s="26"/>
    </row>
    <row r="34" spans="1:6" ht="12">
      <c r="A34" s="25"/>
      <c r="B34" s="12"/>
      <c r="C34" s="11"/>
      <c r="D34" s="77" t="s">
        <v>95</v>
      </c>
      <c r="E34" s="16"/>
      <c r="F34" s="26"/>
    </row>
    <row r="35" spans="1:6" ht="12.75" thickBot="1">
      <c r="A35" s="29" t="str">
        <f>+A11</f>
        <v>Melfalán</v>
      </c>
      <c r="B35" s="33">
        <f>+D21</f>
        <v>14.195439741636187</v>
      </c>
      <c r="C35" s="30" t="str">
        <f>+D11</f>
        <v>mg</v>
      </c>
      <c r="D35" s="78" t="s">
        <v>88</v>
      </c>
      <c r="E35" s="34"/>
      <c r="F35" s="35"/>
    </row>
    <row r="36" ht="12.75" thickTop="1">
      <c r="A36" s="66" t="s">
        <v>96</v>
      </c>
    </row>
    <row r="37" ht="12">
      <c r="A37" s="66" t="s">
        <v>200</v>
      </c>
    </row>
    <row r="38" ht="12">
      <c r="A38" s="66" t="s">
        <v>202</v>
      </c>
    </row>
    <row r="39" ht="12">
      <c r="A39" s="66" t="s">
        <v>201</v>
      </c>
    </row>
    <row r="40" spans="1:2" ht="12">
      <c r="A40" s="18" t="s">
        <v>48</v>
      </c>
      <c r="B40" s="18" t="s">
        <v>49</v>
      </c>
    </row>
    <row r="41" ht="12">
      <c r="A41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0" sqref="F10"/>
    </sheetView>
  </sheetViews>
  <sheetFormatPr defaultColWidth="11.421875" defaultRowHeight="12.75"/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79</v>
      </c>
    </row>
    <row r="4" ht="12">
      <c r="A4" s="1" t="s">
        <v>163</v>
      </c>
    </row>
    <row r="5" spans="1:3" ht="12">
      <c r="A5" t="s">
        <v>125</v>
      </c>
      <c r="C5" s="1" t="s">
        <v>215</v>
      </c>
    </row>
    <row r="6" spans="1:3" ht="12">
      <c r="A6" t="s">
        <v>126</v>
      </c>
      <c r="C6" s="65" t="s">
        <v>216</v>
      </c>
    </row>
    <row r="7" spans="1:3" ht="12.75">
      <c r="A7" t="s">
        <v>127</v>
      </c>
      <c r="C7" s="75" t="s">
        <v>87</v>
      </c>
    </row>
    <row r="8" spans="1:3" ht="12">
      <c r="A8" t="s">
        <v>162</v>
      </c>
      <c r="C8" s="73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73" t="s">
        <v>93</v>
      </c>
      <c r="B11" s="74" t="s">
        <v>85</v>
      </c>
      <c r="C11" s="7">
        <v>100</v>
      </c>
      <c r="D11" s="3" t="s">
        <v>26</v>
      </c>
    </row>
    <row r="12" spans="1:4" ht="12">
      <c r="A12" s="73" t="s">
        <v>86</v>
      </c>
      <c r="B12" s="9" t="s">
        <v>129</v>
      </c>
      <c r="C12" s="7">
        <v>3.5</v>
      </c>
      <c r="D12" s="3" t="s">
        <v>26</v>
      </c>
    </row>
    <row r="13" spans="1:5" ht="12">
      <c r="A13" s="59" t="s">
        <v>37</v>
      </c>
      <c r="B13" s="60"/>
      <c r="C13" s="61">
        <v>160</v>
      </c>
      <c r="E13" s="70" t="s">
        <v>39</v>
      </c>
    </row>
    <row r="14" spans="1:5" ht="12">
      <c r="A14" s="59" t="s">
        <v>38</v>
      </c>
      <c r="B14" s="60"/>
      <c r="C14" s="61">
        <v>56</v>
      </c>
      <c r="E14" s="71" t="s">
        <v>40</v>
      </c>
    </row>
    <row r="15" spans="1:5" ht="12">
      <c r="A15" s="59" t="s">
        <v>134</v>
      </c>
      <c r="B15" s="60"/>
      <c r="C15" s="62">
        <f>0.20274*POWER(C13/100,0.725)*POWER(C14,0.425)</f>
        <v>1.5772710824040208</v>
      </c>
      <c r="E15" s="72" t="s">
        <v>74</v>
      </c>
    </row>
    <row r="16" spans="1:5" ht="12">
      <c r="A16" s="59" t="s">
        <v>135</v>
      </c>
      <c r="B16" s="60"/>
      <c r="C16" s="61">
        <v>100</v>
      </c>
      <c r="E16" s="70" t="s">
        <v>41</v>
      </c>
    </row>
    <row r="17" spans="1:5" ht="12">
      <c r="A17" s="59" t="s">
        <v>21</v>
      </c>
      <c r="B17" s="60"/>
      <c r="C17" s="61">
        <v>1</v>
      </c>
      <c r="E17" s="72"/>
    </row>
    <row r="18" ht="12">
      <c r="A18" s="1" t="s">
        <v>136</v>
      </c>
    </row>
    <row r="19" spans="1:6" ht="12">
      <c r="A19" t="s">
        <v>130</v>
      </c>
      <c r="B19" s="3" t="s">
        <v>137</v>
      </c>
      <c r="C19" s="3" t="s">
        <v>138</v>
      </c>
      <c r="D19" s="15" t="s">
        <v>139</v>
      </c>
      <c r="E19" s="3" t="s">
        <v>22</v>
      </c>
      <c r="F19" s="3" t="s">
        <v>23</v>
      </c>
    </row>
    <row r="20" spans="1:6" ht="12">
      <c r="A20" t="str">
        <f>+$A$11</f>
        <v>Talidomida</v>
      </c>
      <c r="B20" s="7">
        <v>50</v>
      </c>
      <c r="C20" s="4">
        <v>50</v>
      </c>
      <c r="D20" s="4">
        <v>50</v>
      </c>
      <c r="E20" s="8">
        <f>+D20/C11</f>
        <v>0.5</v>
      </c>
      <c r="F20" s="4">
        <f>+E20*90</f>
        <v>45</v>
      </c>
    </row>
    <row r="21" spans="1:6" ht="12.75" thickBot="1">
      <c r="A21" t="str">
        <f>+A12</f>
        <v>Bortezomib</v>
      </c>
      <c r="B21" s="7">
        <v>1.3</v>
      </c>
      <c r="C21" s="4">
        <f>+B21*$C$15</f>
        <v>2.0504524071252272</v>
      </c>
      <c r="D21" s="4">
        <f>+C21*$C$16/100</f>
        <v>2.0504524071252272</v>
      </c>
      <c r="E21" s="8">
        <f>+D21/C12</f>
        <v>0.5858435448929221</v>
      </c>
      <c r="F21" s="4">
        <f>IF(INT(E21)=E21,E21,INT(E21)+1)*4</f>
        <v>4</v>
      </c>
    </row>
    <row r="22" spans="1:5" ht="12.75" thickTop="1">
      <c r="A22" s="21" t="s">
        <v>24</v>
      </c>
      <c r="B22" s="22"/>
      <c r="C22" s="23"/>
      <c r="D22" s="23"/>
      <c r="E22" s="24"/>
    </row>
    <row r="23" spans="1:5" ht="12">
      <c r="A23" s="25" t="s">
        <v>130</v>
      </c>
      <c r="B23" s="11" t="s">
        <v>131</v>
      </c>
      <c r="C23" s="11" t="s">
        <v>29</v>
      </c>
      <c r="D23" s="11" t="s">
        <v>30</v>
      </c>
      <c r="E23" s="27" t="s">
        <v>25</v>
      </c>
    </row>
    <row r="24" spans="1:5" ht="12">
      <c r="A24" s="25" t="str">
        <f>+$A$11</f>
        <v>Talidomida</v>
      </c>
      <c r="B24" s="11" t="str">
        <f aca="true" t="shared" si="0" ref="B24:D25">+B11</f>
        <v>Tabletas</v>
      </c>
      <c r="C24" s="11">
        <f t="shared" si="0"/>
        <v>100</v>
      </c>
      <c r="D24" s="11" t="str">
        <f t="shared" si="0"/>
        <v>mg</v>
      </c>
      <c r="E24" s="27">
        <f>+F20</f>
        <v>45</v>
      </c>
    </row>
    <row r="25" spans="1:5" ht="12.75" thickBot="1">
      <c r="A25" s="29" t="str">
        <f>+A12</f>
        <v>Bortezomib</v>
      </c>
      <c r="B25" s="30" t="str">
        <f t="shared" si="0"/>
        <v>Amp</v>
      </c>
      <c r="C25" s="30">
        <f t="shared" si="0"/>
        <v>3.5</v>
      </c>
      <c r="D25" s="30" t="str">
        <f t="shared" si="0"/>
        <v>mg</v>
      </c>
      <c r="E25" s="76">
        <f>+F21</f>
        <v>4</v>
      </c>
    </row>
    <row r="26" spans="1:6" ht="13.5" thickBot="1" thickTop="1">
      <c r="A26" s="56"/>
      <c r="B26" s="57"/>
      <c r="C26" s="57"/>
      <c r="D26" s="57"/>
      <c r="E26" s="57"/>
      <c r="F26" s="56"/>
    </row>
    <row r="27" spans="1:6" ht="12.75" thickTop="1">
      <c r="A27" s="21" t="s">
        <v>31</v>
      </c>
      <c r="B27" s="23"/>
      <c r="C27" s="23"/>
      <c r="D27" s="23"/>
      <c r="E27" s="23"/>
      <c r="F27" s="24"/>
    </row>
    <row r="28" spans="1:6" ht="12">
      <c r="A28" s="31" t="s">
        <v>32</v>
      </c>
      <c r="B28" s="14" t="s">
        <v>164</v>
      </c>
      <c r="C28" s="14" t="s">
        <v>30</v>
      </c>
      <c r="D28" s="13" t="s">
        <v>126</v>
      </c>
      <c r="E28" s="10"/>
      <c r="F28" s="26"/>
    </row>
    <row r="29" spans="1:6" ht="12">
      <c r="A29" s="25" t="str">
        <f>+A25</f>
        <v>Bortezomib</v>
      </c>
      <c r="B29" s="12">
        <f>+D21</f>
        <v>2.0504524071252272</v>
      </c>
      <c r="C29" s="11" t="str">
        <f>+D12</f>
        <v>mg</v>
      </c>
      <c r="D29" s="77" t="s">
        <v>217</v>
      </c>
      <c r="E29" s="16"/>
      <c r="F29" s="26"/>
    </row>
    <row r="30" spans="1:6" ht="12.75" thickBot="1">
      <c r="A30" s="29" t="str">
        <f>+A11</f>
        <v>Talidomida</v>
      </c>
      <c r="B30" s="33">
        <f>+D20</f>
        <v>50</v>
      </c>
      <c r="C30" s="30" t="str">
        <f>+D11</f>
        <v>mg</v>
      </c>
      <c r="D30" s="78" t="s">
        <v>218</v>
      </c>
      <c r="E30" s="34"/>
      <c r="F30" s="35"/>
    </row>
    <row r="31" ht="12.75" thickTop="1">
      <c r="A31" s="66" t="s">
        <v>224</v>
      </c>
    </row>
    <row r="32" ht="12">
      <c r="A32" s="66" t="s">
        <v>225</v>
      </c>
    </row>
    <row r="33" spans="1:2" ht="12">
      <c r="A33" s="18" t="s">
        <v>48</v>
      </c>
      <c r="B33" s="18" t="s">
        <v>49</v>
      </c>
    </row>
    <row r="34" ht="12">
      <c r="A34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3"/>
    </sheetView>
  </sheetViews>
  <sheetFormatPr defaultColWidth="11.421875" defaultRowHeight="12.75"/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79</v>
      </c>
    </row>
    <row r="4" ht="12">
      <c r="A4" s="1" t="s">
        <v>163</v>
      </c>
    </row>
    <row r="5" spans="1:3" ht="12">
      <c r="A5" t="s">
        <v>125</v>
      </c>
      <c r="C5" s="1" t="s">
        <v>226</v>
      </c>
    </row>
    <row r="6" spans="1:3" ht="12">
      <c r="A6" t="s">
        <v>126</v>
      </c>
      <c r="C6" s="65" t="s">
        <v>227</v>
      </c>
    </row>
    <row r="7" spans="1:3" ht="12.75">
      <c r="A7" t="s">
        <v>127</v>
      </c>
      <c r="C7" s="75" t="s">
        <v>87</v>
      </c>
    </row>
    <row r="8" spans="1:3" ht="12">
      <c r="A8" t="s">
        <v>162</v>
      </c>
      <c r="C8" s="73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73" t="s">
        <v>228</v>
      </c>
      <c r="B11" s="74" t="s">
        <v>85</v>
      </c>
      <c r="C11" s="7">
        <v>50</v>
      </c>
      <c r="D11" s="3" t="s">
        <v>26</v>
      </c>
    </row>
    <row r="12" spans="1:4" ht="12">
      <c r="A12" s="73" t="s">
        <v>86</v>
      </c>
      <c r="B12" s="9" t="s">
        <v>129</v>
      </c>
      <c r="C12" s="7">
        <v>3.5</v>
      </c>
      <c r="D12" s="3" t="s">
        <v>26</v>
      </c>
    </row>
    <row r="13" spans="1:5" ht="12">
      <c r="A13" s="59" t="s">
        <v>37</v>
      </c>
      <c r="B13" s="60"/>
      <c r="C13" s="61">
        <v>160</v>
      </c>
      <c r="E13" s="70" t="s">
        <v>39</v>
      </c>
    </row>
    <row r="14" spans="1:5" ht="12">
      <c r="A14" s="59" t="s">
        <v>38</v>
      </c>
      <c r="B14" s="60"/>
      <c r="C14" s="61">
        <v>56</v>
      </c>
      <c r="E14" s="71" t="s">
        <v>40</v>
      </c>
    </row>
    <row r="15" spans="1:5" ht="12">
      <c r="A15" s="59" t="s">
        <v>134</v>
      </c>
      <c r="B15" s="60"/>
      <c r="C15" s="62">
        <f>0.20274*POWER(C13/100,0.725)*POWER(C14,0.425)</f>
        <v>1.5772710824040208</v>
      </c>
      <c r="E15" s="72" t="s">
        <v>74</v>
      </c>
    </row>
    <row r="16" spans="1:5" ht="12">
      <c r="A16" s="59" t="s">
        <v>135</v>
      </c>
      <c r="B16" s="60"/>
      <c r="C16" s="61">
        <v>100</v>
      </c>
      <c r="E16" s="70" t="s">
        <v>41</v>
      </c>
    </row>
    <row r="17" spans="1:5" ht="12">
      <c r="A17" s="59" t="s">
        <v>21</v>
      </c>
      <c r="B17" s="60"/>
      <c r="C17" s="61">
        <v>1</v>
      </c>
      <c r="E17" s="72"/>
    </row>
    <row r="18" ht="12">
      <c r="A18" s="1" t="s">
        <v>136</v>
      </c>
    </row>
    <row r="19" spans="1:6" ht="12">
      <c r="A19" t="s">
        <v>130</v>
      </c>
      <c r="B19" s="3" t="s">
        <v>137</v>
      </c>
      <c r="C19" s="3" t="s">
        <v>138</v>
      </c>
      <c r="D19" s="15" t="s">
        <v>139</v>
      </c>
      <c r="E19" s="3" t="s">
        <v>22</v>
      </c>
      <c r="F19" s="3" t="s">
        <v>23</v>
      </c>
    </row>
    <row r="20" spans="1:6" ht="12">
      <c r="A20" t="str">
        <f>+$A$11</f>
        <v>Prednisona</v>
      </c>
      <c r="B20" s="7">
        <v>50</v>
      </c>
      <c r="C20" s="4">
        <v>50</v>
      </c>
      <c r="D20" s="4">
        <v>50</v>
      </c>
      <c r="E20" s="8">
        <f>+D20/C11</f>
        <v>1</v>
      </c>
      <c r="F20" s="4">
        <f>+E20*45</f>
        <v>45</v>
      </c>
    </row>
    <row r="21" spans="1:6" ht="12.75" thickBot="1">
      <c r="A21" t="str">
        <f>+A12</f>
        <v>Bortezomib</v>
      </c>
      <c r="B21" s="7">
        <v>1.3</v>
      </c>
      <c r="C21" s="4">
        <f>+B21*$C$15</f>
        <v>2.0504524071252272</v>
      </c>
      <c r="D21" s="4">
        <f>+C21*$C$16/100</f>
        <v>2.0504524071252272</v>
      </c>
      <c r="E21" s="8">
        <f>+D21/C12</f>
        <v>0.5858435448929221</v>
      </c>
      <c r="F21" s="4">
        <f>IF(INT(E21)=E21,E21,INT(E21)+1)*4</f>
        <v>4</v>
      </c>
    </row>
    <row r="22" spans="1:5" ht="12.75" thickTop="1">
      <c r="A22" s="21" t="s">
        <v>24</v>
      </c>
      <c r="B22" s="22"/>
      <c r="C22" s="23"/>
      <c r="D22" s="23"/>
      <c r="E22" s="24"/>
    </row>
    <row r="23" spans="1:5" ht="12">
      <c r="A23" s="25" t="s">
        <v>130</v>
      </c>
      <c r="B23" s="11" t="s">
        <v>131</v>
      </c>
      <c r="C23" s="11" t="s">
        <v>29</v>
      </c>
      <c r="D23" s="11" t="s">
        <v>30</v>
      </c>
      <c r="E23" s="27" t="s">
        <v>25</v>
      </c>
    </row>
    <row r="24" spans="1:5" ht="12">
      <c r="A24" s="25" t="str">
        <f>+$A$11</f>
        <v>Prednisona</v>
      </c>
      <c r="B24" s="11" t="str">
        <f aca="true" t="shared" si="0" ref="B24:D25">+B11</f>
        <v>Tabletas</v>
      </c>
      <c r="C24" s="11">
        <f t="shared" si="0"/>
        <v>50</v>
      </c>
      <c r="D24" s="11" t="str">
        <f t="shared" si="0"/>
        <v>mg</v>
      </c>
      <c r="E24" s="27">
        <f>+F20</f>
        <v>45</v>
      </c>
    </row>
    <row r="25" spans="1:5" ht="12.75" thickBot="1">
      <c r="A25" s="29" t="str">
        <f>+A12</f>
        <v>Bortezomib</v>
      </c>
      <c r="B25" s="30" t="str">
        <f t="shared" si="0"/>
        <v>Amp</v>
      </c>
      <c r="C25" s="30">
        <f t="shared" si="0"/>
        <v>3.5</v>
      </c>
      <c r="D25" s="30" t="str">
        <f t="shared" si="0"/>
        <v>mg</v>
      </c>
      <c r="E25" s="76">
        <f>+F21</f>
        <v>4</v>
      </c>
    </row>
    <row r="26" spans="1:6" ht="13.5" thickBot="1" thickTop="1">
      <c r="A26" s="56"/>
      <c r="B26" s="57"/>
      <c r="C26" s="57"/>
      <c r="D26" s="57"/>
      <c r="E26" s="57"/>
      <c r="F26" s="56"/>
    </row>
    <row r="27" spans="1:6" ht="12.75" thickTop="1">
      <c r="A27" s="21" t="s">
        <v>31</v>
      </c>
      <c r="B27" s="23"/>
      <c r="C27" s="23"/>
      <c r="D27" s="23"/>
      <c r="E27" s="23"/>
      <c r="F27" s="24"/>
    </row>
    <row r="28" spans="1:6" ht="12">
      <c r="A28" s="31" t="s">
        <v>32</v>
      </c>
      <c r="B28" s="14" t="s">
        <v>164</v>
      </c>
      <c r="C28" s="14" t="s">
        <v>30</v>
      </c>
      <c r="D28" s="13" t="s">
        <v>126</v>
      </c>
      <c r="E28" s="10"/>
      <c r="F28" s="26"/>
    </row>
    <row r="29" spans="1:6" ht="12">
      <c r="A29" s="25" t="str">
        <f>+A25</f>
        <v>Bortezomib</v>
      </c>
      <c r="B29" s="12">
        <f>+D21</f>
        <v>2.0504524071252272</v>
      </c>
      <c r="C29" s="11" t="str">
        <f>+D12</f>
        <v>mg</v>
      </c>
      <c r="D29" s="77" t="s">
        <v>217</v>
      </c>
      <c r="E29" s="16"/>
      <c r="F29" s="26"/>
    </row>
    <row r="30" spans="1:6" ht="12.75" thickBot="1">
      <c r="A30" s="29" t="str">
        <f>+A11</f>
        <v>Prednisona</v>
      </c>
      <c r="B30" s="33">
        <f>+D20</f>
        <v>50</v>
      </c>
      <c r="C30" s="30" t="str">
        <f>+D11</f>
        <v>mg</v>
      </c>
      <c r="D30" s="78" t="s">
        <v>141</v>
      </c>
      <c r="E30" s="34"/>
      <c r="F30" s="35"/>
    </row>
    <row r="31" ht="12.75" thickTop="1">
      <c r="A31" s="66" t="s">
        <v>140</v>
      </c>
    </row>
    <row r="32" ht="12">
      <c r="A32" s="66" t="s">
        <v>225</v>
      </c>
    </row>
    <row r="33" spans="1:2" ht="12">
      <c r="A33" s="18" t="s">
        <v>48</v>
      </c>
      <c r="B33" s="18" t="s">
        <v>49</v>
      </c>
    </row>
    <row r="34" ht="12">
      <c r="A34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5">
      <c r="A1" s="45"/>
      <c r="B1" s="45"/>
      <c r="C1" s="46"/>
      <c r="D1" s="50" t="s">
        <v>112</v>
      </c>
      <c r="E1" s="45"/>
      <c r="F1" s="45"/>
    </row>
    <row r="2" spans="1:6" ht="12">
      <c r="A2" s="45"/>
      <c r="B2" s="45"/>
      <c r="C2" s="45"/>
      <c r="D2" s="49" t="s">
        <v>111</v>
      </c>
      <c r="E2" s="45"/>
      <c r="F2" s="45"/>
    </row>
    <row r="3" spans="1:6" ht="12">
      <c r="A3" s="47" t="s">
        <v>109</v>
      </c>
      <c r="B3" s="45"/>
      <c r="C3" s="45"/>
      <c r="D3" s="45"/>
      <c r="E3" s="45"/>
      <c r="F3" s="69" t="s">
        <v>79</v>
      </c>
    </row>
    <row r="4" ht="12">
      <c r="A4" s="1" t="s">
        <v>163</v>
      </c>
    </row>
    <row r="5" spans="1:3" ht="12">
      <c r="A5" t="s">
        <v>125</v>
      </c>
      <c r="C5" s="1" t="s">
        <v>146</v>
      </c>
    </row>
    <row r="6" spans="1:3" ht="12">
      <c r="A6" t="s">
        <v>126</v>
      </c>
      <c r="C6" s="65" t="s">
        <v>147</v>
      </c>
    </row>
    <row r="7" spans="1:3" ht="12.75">
      <c r="A7" t="s">
        <v>127</v>
      </c>
      <c r="C7" s="75" t="s">
        <v>81</v>
      </c>
    </row>
    <row r="8" spans="1:3" ht="12">
      <c r="A8" t="s">
        <v>162</v>
      </c>
      <c r="C8" s="73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73" t="s">
        <v>84</v>
      </c>
      <c r="B11" s="74" t="s">
        <v>85</v>
      </c>
      <c r="C11" s="7">
        <v>2</v>
      </c>
      <c r="D11" s="3" t="s">
        <v>20</v>
      </c>
    </row>
    <row r="12" spans="1:4" ht="12">
      <c r="A12" s="73" t="s">
        <v>43</v>
      </c>
      <c r="B12" s="74" t="s">
        <v>85</v>
      </c>
      <c r="C12" s="7">
        <v>50</v>
      </c>
      <c r="D12" s="3" t="s">
        <v>26</v>
      </c>
    </row>
    <row r="13" spans="1:4" ht="12">
      <c r="A13" s="73" t="s">
        <v>148</v>
      </c>
      <c r="B13" s="74" t="s">
        <v>154</v>
      </c>
      <c r="C13" s="7">
        <v>10</v>
      </c>
      <c r="D13" s="3" t="s">
        <v>26</v>
      </c>
    </row>
    <row r="14" spans="1:5" ht="12">
      <c r="A14" s="59" t="s">
        <v>37</v>
      </c>
      <c r="B14" s="60"/>
      <c r="C14" s="61">
        <v>160</v>
      </c>
      <c r="E14" s="70" t="s">
        <v>39</v>
      </c>
    </row>
    <row r="15" spans="1:5" ht="12">
      <c r="A15" s="59" t="s">
        <v>38</v>
      </c>
      <c r="B15" s="60"/>
      <c r="C15" s="61">
        <v>56</v>
      </c>
      <c r="E15" s="71" t="s">
        <v>40</v>
      </c>
    </row>
    <row r="16" spans="1:5" ht="12">
      <c r="A16" s="59" t="s">
        <v>134</v>
      </c>
      <c r="B16" s="60"/>
      <c r="C16" s="62">
        <f>0.20274*POWER(C14/100,0.725)*POWER(C15,0.425)</f>
        <v>1.5772710824040208</v>
      </c>
      <c r="E16" s="72" t="s">
        <v>74</v>
      </c>
    </row>
    <row r="17" spans="1:5" ht="12">
      <c r="A17" s="59" t="s">
        <v>135</v>
      </c>
      <c r="B17" s="60"/>
      <c r="C17" s="61">
        <v>100</v>
      </c>
      <c r="E17" s="70" t="s">
        <v>41</v>
      </c>
    </row>
    <row r="18" spans="1:5" ht="12">
      <c r="A18" s="59" t="s">
        <v>21</v>
      </c>
      <c r="B18" s="60"/>
      <c r="C18" s="61">
        <v>1</v>
      </c>
      <c r="E18" s="72"/>
    </row>
    <row r="19" ht="12">
      <c r="A19" s="1" t="s">
        <v>136</v>
      </c>
    </row>
    <row r="20" spans="1:6" ht="12">
      <c r="A20" t="s">
        <v>130</v>
      </c>
      <c r="B20" s="74" t="s">
        <v>149</v>
      </c>
      <c r="C20" s="3" t="s">
        <v>138</v>
      </c>
      <c r="D20" s="15" t="s">
        <v>139</v>
      </c>
      <c r="E20" s="3" t="s">
        <v>22</v>
      </c>
      <c r="F20" s="3" t="s">
        <v>23</v>
      </c>
    </row>
    <row r="21" spans="1:6" ht="12">
      <c r="A21" t="str">
        <f>+A11</f>
        <v>Melfalán</v>
      </c>
      <c r="B21" s="7">
        <v>0.18</v>
      </c>
      <c r="C21" s="4">
        <f>+B21*C15</f>
        <v>10.08</v>
      </c>
      <c r="D21" s="4">
        <f>+C21*$C$17/100</f>
        <v>10.08</v>
      </c>
      <c r="E21" s="8">
        <f>+D21/C11</f>
        <v>5.04</v>
      </c>
      <c r="F21" s="4">
        <f>IF(INT(E21)=E21,E21,INT(E21)+1)*4</f>
        <v>24</v>
      </c>
    </row>
    <row r="22" spans="1:6" ht="12">
      <c r="A22" t="str">
        <f>+$A$12</f>
        <v>Prednisolona</v>
      </c>
      <c r="B22" s="7">
        <v>2</v>
      </c>
      <c r="C22" s="4">
        <f>+B22*C15</f>
        <v>112</v>
      </c>
      <c r="D22" s="4">
        <f>+C22*$C$17/100</f>
        <v>112</v>
      </c>
      <c r="E22" s="8">
        <f>+D22/C12</f>
        <v>2.24</v>
      </c>
      <c r="F22" s="4">
        <f>IF(INT(E22)=E22,E22,INT(E22)+1)*4</f>
        <v>12</v>
      </c>
    </row>
    <row r="23" spans="1:6" ht="12.75" thickBot="1">
      <c r="A23" t="str">
        <f>+A13</f>
        <v>Lenalidomida</v>
      </c>
      <c r="B23" s="7">
        <v>10</v>
      </c>
      <c r="C23" s="4">
        <v>10</v>
      </c>
      <c r="D23" s="4">
        <f>+C23*$C$17/100</f>
        <v>10</v>
      </c>
      <c r="E23" s="8">
        <f>+D23/C13</f>
        <v>1</v>
      </c>
      <c r="F23" s="4">
        <f>+E23*21</f>
        <v>21</v>
      </c>
    </row>
    <row r="24" spans="1:5" ht="12.75" thickTop="1">
      <c r="A24" s="21" t="s">
        <v>24</v>
      </c>
      <c r="B24" s="22"/>
      <c r="C24" s="23"/>
      <c r="D24" s="23"/>
      <c r="E24" s="24"/>
    </row>
    <row r="25" spans="1:5" ht="12">
      <c r="A25" s="25" t="s">
        <v>130</v>
      </c>
      <c r="B25" s="11" t="s">
        <v>131</v>
      </c>
      <c r="C25" s="11" t="s">
        <v>29</v>
      </c>
      <c r="D25" s="11" t="s">
        <v>30</v>
      </c>
      <c r="E25" s="27" t="s">
        <v>25</v>
      </c>
    </row>
    <row r="26" spans="1:5" ht="12">
      <c r="A26" s="25" t="str">
        <f>+A11</f>
        <v>Melfalán</v>
      </c>
      <c r="B26" s="11" t="str">
        <f>+B11</f>
        <v>Tabletas</v>
      </c>
      <c r="C26" s="11">
        <f>+C11</f>
        <v>2</v>
      </c>
      <c r="D26" s="11" t="str">
        <f>+D11</f>
        <v>mg</v>
      </c>
      <c r="E26" s="28">
        <f>+F21</f>
        <v>24</v>
      </c>
    </row>
    <row r="27" spans="1:5" ht="12">
      <c r="A27" s="25" t="str">
        <f>+$A$12</f>
        <v>Prednisolona</v>
      </c>
      <c r="B27" s="11" t="str">
        <f aca="true" t="shared" si="0" ref="B27:D28">+B12</f>
        <v>Tabletas</v>
      </c>
      <c r="C27" s="11">
        <f t="shared" si="0"/>
        <v>50</v>
      </c>
      <c r="D27" s="11" t="str">
        <f t="shared" si="0"/>
        <v>mg</v>
      </c>
      <c r="E27" s="27">
        <f>+F22</f>
        <v>12</v>
      </c>
    </row>
    <row r="28" spans="1:5" ht="12.75" thickBot="1">
      <c r="A28" s="29" t="str">
        <f>+A13</f>
        <v>Lenalidomida</v>
      </c>
      <c r="B28" s="30" t="str">
        <f t="shared" si="0"/>
        <v>Cápsulas</v>
      </c>
      <c r="C28" s="30">
        <f t="shared" si="0"/>
        <v>10</v>
      </c>
      <c r="D28" s="30" t="str">
        <f t="shared" si="0"/>
        <v>mg</v>
      </c>
      <c r="E28" s="76">
        <f>+F23</f>
        <v>21</v>
      </c>
    </row>
    <row r="29" spans="1:6" ht="13.5" thickBot="1" thickTop="1">
      <c r="A29" s="56"/>
      <c r="B29" s="57"/>
      <c r="C29" s="57"/>
      <c r="D29" s="57"/>
      <c r="E29" s="57"/>
      <c r="F29" s="56"/>
    </row>
    <row r="30" spans="1:6" ht="12.75" thickTop="1">
      <c r="A30" s="21" t="s">
        <v>31</v>
      </c>
      <c r="B30" s="23"/>
      <c r="C30" s="23"/>
      <c r="D30" s="23"/>
      <c r="E30" s="23"/>
      <c r="F30" s="24"/>
    </row>
    <row r="31" spans="1:6" ht="12">
      <c r="A31" s="31" t="s">
        <v>32</v>
      </c>
      <c r="B31" s="14" t="s">
        <v>164</v>
      </c>
      <c r="C31" s="14" t="s">
        <v>30</v>
      </c>
      <c r="D31" s="13" t="s">
        <v>126</v>
      </c>
      <c r="E31" s="10"/>
      <c r="F31" s="26"/>
    </row>
    <row r="32" spans="1:6" ht="12">
      <c r="A32" s="25" t="str">
        <f>+A28</f>
        <v>Lenalidomida</v>
      </c>
      <c r="B32" s="12">
        <f>+D23</f>
        <v>10</v>
      </c>
      <c r="C32" s="11" t="str">
        <f>+D13</f>
        <v>mg</v>
      </c>
      <c r="D32" s="77" t="s">
        <v>150</v>
      </c>
      <c r="E32" s="16"/>
      <c r="F32" s="26"/>
    </row>
    <row r="33" spans="1:6" ht="12">
      <c r="A33" s="25" t="str">
        <f>+A12</f>
        <v>Prednisolona</v>
      </c>
      <c r="B33" s="12">
        <f>+D22</f>
        <v>112</v>
      </c>
      <c r="C33" s="11" t="str">
        <f>+D12</f>
        <v>mg</v>
      </c>
      <c r="D33" s="77" t="s">
        <v>151</v>
      </c>
      <c r="E33" s="16"/>
      <c r="F33" s="26"/>
    </row>
    <row r="34" spans="1:6" ht="12.75" thickBot="1">
      <c r="A34" s="29" t="str">
        <f>+A11</f>
        <v>Melfalán</v>
      </c>
      <c r="B34" s="33">
        <f>+D21</f>
        <v>10.08</v>
      </c>
      <c r="C34" s="30" t="str">
        <f>+D11</f>
        <v>mg</v>
      </c>
      <c r="D34" s="78" t="s">
        <v>151</v>
      </c>
      <c r="E34" s="34"/>
      <c r="F34" s="35"/>
    </row>
    <row r="35" ht="12.75" thickTop="1">
      <c r="A35" s="66" t="s">
        <v>152</v>
      </c>
    </row>
    <row r="36" ht="12">
      <c r="A36" s="66" t="s">
        <v>153</v>
      </c>
    </row>
    <row r="37" spans="1:2" ht="12">
      <c r="A37" s="18" t="s">
        <v>48</v>
      </c>
      <c r="B37" s="18" t="s">
        <v>49</v>
      </c>
    </row>
    <row r="38" ht="12">
      <c r="A38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3"/>
    </sheetView>
  </sheetViews>
  <sheetFormatPr defaultColWidth="11.421875" defaultRowHeight="12.75"/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79</v>
      </c>
    </row>
    <row r="4" ht="12">
      <c r="A4" s="1" t="s">
        <v>163</v>
      </c>
    </row>
    <row r="5" spans="1:3" ht="12">
      <c r="A5" t="s">
        <v>125</v>
      </c>
      <c r="C5" s="1" t="s">
        <v>156</v>
      </c>
    </row>
    <row r="6" spans="1:3" ht="12">
      <c r="A6" t="s">
        <v>126</v>
      </c>
      <c r="C6" s="18" t="s">
        <v>187</v>
      </c>
    </row>
    <row r="7" spans="1:3" ht="12.75">
      <c r="A7" t="s">
        <v>127</v>
      </c>
      <c r="C7" s="75" t="s">
        <v>81</v>
      </c>
    </row>
    <row r="8" spans="1:3" ht="12">
      <c r="A8" t="s">
        <v>162</v>
      </c>
      <c r="C8" s="73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73" t="s">
        <v>84</v>
      </c>
      <c r="B11" s="74" t="s">
        <v>85</v>
      </c>
      <c r="C11" s="7">
        <v>2</v>
      </c>
      <c r="D11" s="3" t="s">
        <v>20</v>
      </c>
    </row>
    <row r="12" spans="1:4" ht="12">
      <c r="A12" s="73" t="s">
        <v>43</v>
      </c>
      <c r="B12" s="74" t="s">
        <v>85</v>
      </c>
      <c r="C12" s="7">
        <v>50</v>
      </c>
      <c r="D12" s="3" t="s">
        <v>26</v>
      </c>
    </row>
    <row r="13" spans="1:5" ht="12">
      <c r="A13" s="59" t="s">
        <v>37</v>
      </c>
      <c r="B13" s="60"/>
      <c r="C13" s="61">
        <v>160</v>
      </c>
      <c r="E13" s="70" t="s">
        <v>39</v>
      </c>
    </row>
    <row r="14" spans="1:5" ht="12">
      <c r="A14" s="59" t="s">
        <v>38</v>
      </c>
      <c r="B14" s="60"/>
      <c r="C14" s="61">
        <v>56</v>
      </c>
      <c r="E14" s="71" t="s">
        <v>40</v>
      </c>
    </row>
    <row r="15" spans="1:5" ht="12">
      <c r="A15" s="59" t="s">
        <v>134</v>
      </c>
      <c r="B15" s="60"/>
      <c r="C15" s="62">
        <f>0.20274*POWER(C13/100,0.725)*POWER(C14,0.425)</f>
        <v>1.5772710824040208</v>
      </c>
      <c r="E15" s="72" t="s">
        <v>74</v>
      </c>
    </row>
    <row r="16" spans="1:5" ht="12">
      <c r="A16" s="59" t="s">
        <v>135</v>
      </c>
      <c r="B16" s="60"/>
      <c r="C16" s="61">
        <v>100</v>
      </c>
      <c r="E16" s="70" t="s">
        <v>41</v>
      </c>
    </row>
    <row r="17" spans="1:5" ht="12">
      <c r="A17" s="59" t="s">
        <v>21</v>
      </c>
      <c r="B17" s="60"/>
      <c r="C17" s="61">
        <v>1</v>
      </c>
      <c r="E17" s="72"/>
    </row>
    <row r="18" ht="12">
      <c r="A18" s="1" t="s">
        <v>136</v>
      </c>
    </row>
    <row r="19" spans="1:6" ht="12">
      <c r="A19" t="s">
        <v>130</v>
      </c>
      <c r="B19" s="74" t="s">
        <v>149</v>
      </c>
      <c r="C19" s="3" t="s">
        <v>138</v>
      </c>
      <c r="D19" s="15" t="s">
        <v>139</v>
      </c>
      <c r="E19" s="3" t="s">
        <v>22</v>
      </c>
      <c r="F19" s="3" t="s">
        <v>23</v>
      </c>
    </row>
    <row r="20" spans="1:6" ht="12">
      <c r="A20" t="str">
        <f>+A11</f>
        <v>Melfalán</v>
      </c>
      <c r="B20" s="7">
        <f>+IF(C17&lt;10,0.18,0)</f>
        <v>0.18</v>
      </c>
      <c r="C20" s="4">
        <f>+B20*C14</f>
        <v>10.08</v>
      </c>
      <c r="D20" s="4">
        <f>+C20*$C$16/100</f>
        <v>10.08</v>
      </c>
      <c r="E20" s="8">
        <f>+D20/C11</f>
        <v>5.04</v>
      </c>
      <c r="F20" s="4">
        <f>+IF(E20=0,0,(IF(INT(E20)=E20,E20,INT(E20)+1)*4))</f>
        <v>24</v>
      </c>
    </row>
    <row r="21" spans="1:6" ht="12.75" thickBot="1">
      <c r="A21" t="str">
        <f>+$A$12</f>
        <v>Prednisolona</v>
      </c>
      <c r="B21" s="7">
        <f>+IF(C17&lt;10,2,0)</f>
        <v>2</v>
      </c>
      <c r="C21" s="4">
        <f>+B21*C14</f>
        <v>112</v>
      </c>
      <c r="D21" s="4">
        <f>+C21*$C$16/100</f>
        <v>112</v>
      </c>
      <c r="E21" s="8">
        <f>+D21/C12</f>
        <v>2.24</v>
      </c>
      <c r="F21" s="4">
        <f>IF(INT(E21)=E21,E21,INT(E21)+1)*4</f>
        <v>12</v>
      </c>
    </row>
    <row r="22" spans="1:5" ht="12.75" thickTop="1">
      <c r="A22" s="21" t="s">
        <v>24</v>
      </c>
      <c r="B22" s="22"/>
      <c r="C22" s="23"/>
      <c r="D22" s="23"/>
      <c r="E22" s="24"/>
    </row>
    <row r="23" spans="1:5" ht="12">
      <c r="A23" s="25" t="s">
        <v>130</v>
      </c>
      <c r="B23" s="11" t="s">
        <v>131</v>
      </c>
      <c r="C23" s="11" t="s">
        <v>29</v>
      </c>
      <c r="D23" s="11" t="s">
        <v>30</v>
      </c>
      <c r="E23" s="27" t="s">
        <v>25</v>
      </c>
    </row>
    <row r="24" spans="1:5" ht="12">
      <c r="A24" s="25" t="str">
        <f>+A11</f>
        <v>Melfalán</v>
      </c>
      <c r="B24" s="11" t="str">
        <f>+B11</f>
        <v>Tabletas</v>
      </c>
      <c r="C24" s="11">
        <f>+C11</f>
        <v>2</v>
      </c>
      <c r="D24" s="11" t="str">
        <f>+D11</f>
        <v>mg</v>
      </c>
      <c r="E24" s="28">
        <f>+F20</f>
        <v>24</v>
      </c>
    </row>
    <row r="25" spans="1:5" ht="12.75" thickBot="1">
      <c r="A25" s="29" t="str">
        <f>+$A$12</f>
        <v>Prednisolona</v>
      </c>
      <c r="B25" s="30" t="str">
        <f>+B12</f>
        <v>Tabletas</v>
      </c>
      <c r="C25" s="30">
        <f>+C12</f>
        <v>50</v>
      </c>
      <c r="D25" s="30" t="str">
        <f>+D12</f>
        <v>mg</v>
      </c>
      <c r="E25" s="55">
        <f>+F21</f>
        <v>12</v>
      </c>
    </row>
    <row r="26" spans="1:6" ht="13.5" thickBot="1" thickTop="1">
      <c r="A26" s="56"/>
      <c r="B26" s="57"/>
      <c r="C26" s="57"/>
      <c r="D26" s="57"/>
      <c r="E26" s="57"/>
      <c r="F26" s="56"/>
    </row>
    <row r="27" spans="1:6" ht="12.75" thickTop="1">
      <c r="A27" s="21" t="s">
        <v>31</v>
      </c>
      <c r="B27" s="23"/>
      <c r="C27" s="23"/>
      <c r="D27" s="23"/>
      <c r="E27" s="23"/>
      <c r="F27" s="24"/>
    </row>
    <row r="28" spans="1:6" ht="12">
      <c r="A28" s="31" t="s">
        <v>32</v>
      </c>
      <c r="B28" s="14" t="s">
        <v>164</v>
      </c>
      <c r="C28" s="14" t="s">
        <v>30</v>
      </c>
      <c r="D28" s="13" t="s">
        <v>126</v>
      </c>
      <c r="E28" s="10"/>
      <c r="F28" s="26"/>
    </row>
    <row r="29" spans="1:6" ht="12">
      <c r="A29" s="25" t="str">
        <f>+A12</f>
        <v>Prednisolona</v>
      </c>
      <c r="B29" s="12">
        <f>+D21</f>
        <v>112</v>
      </c>
      <c r="C29" s="11" t="str">
        <f>+D12</f>
        <v>mg</v>
      </c>
      <c r="D29" s="77" t="s">
        <v>151</v>
      </c>
      <c r="E29" s="16"/>
      <c r="F29" s="26"/>
    </row>
    <row r="30" spans="1:6" ht="12.75" thickBot="1">
      <c r="A30" s="29" t="str">
        <f>+A11</f>
        <v>Melfalán</v>
      </c>
      <c r="B30" s="33">
        <f>+D20</f>
        <v>10.08</v>
      </c>
      <c r="C30" s="30" t="str">
        <f>+D11</f>
        <v>mg</v>
      </c>
      <c r="D30" s="78" t="s">
        <v>151</v>
      </c>
      <c r="E30" s="34"/>
      <c r="F30" s="35"/>
    </row>
    <row r="31" ht="12.75" thickTop="1">
      <c r="A31" s="66" t="s">
        <v>157</v>
      </c>
    </row>
    <row r="32" ht="12">
      <c r="A32" s="66" t="s">
        <v>158</v>
      </c>
    </row>
    <row r="33" spans="1:2" ht="12">
      <c r="A33" s="18" t="s">
        <v>48</v>
      </c>
      <c r="B33" s="18" t="s">
        <v>49</v>
      </c>
    </row>
    <row r="34" ht="12">
      <c r="A34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9" sqref="E9"/>
    </sheetView>
  </sheetViews>
  <sheetFormatPr defaultColWidth="11.421875" defaultRowHeight="12.75"/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79</v>
      </c>
    </row>
    <row r="4" ht="12">
      <c r="A4" s="1" t="s">
        <v>163</v>
      </c>
    </row>
    <row r="5" spans="1:3" ht="12">
      <c r="A5" t="s">
        <v>125</v>
      </c>
      <c r="C5" s="1" t="s">
        <v>146</v>
      </c>
    </row>
    <row r="6" spans="1:3" ht="12">
      <c r="A6" t="s">
        <v>126</v>
      </c>
      <c r="C6" s="18" t="s">
        <v>159</v>
      </c>
    </row>
    <row r="7" spans="1:3" ht="12.75">
      <c r="A7" t="s">
        <v>127</v>
      </c>
      <c r="C7" s="75" t="s">
        <v>81</v>
      </c>
    </row>
    <row r="8" spans="1:3" ht="12">
      <c r="A8" t="s">
        <v>162</v>
      </c>
      <c r="C8" s="2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2" t="s">
        <v>84</v>
      </c>
      <c r="B11" s="9" t="s">
        <v>85</v>
      </c>
      <c r="C11" s="7">
        <v>2</v>
      </c>
      <c r="D11" s="3" t="s">
        <v>20</v>
      </c>
    </row>
    <row r="12" spans="1:4" ht="12">
      <c r="A12" s="2" t="s">
        <v>43</v>
      </c>
      <c r="B12" s="9" t="s">
        <v>85</v>
      </c>
      <c r="C12" s="7">
        <v>50</v>
      </c>
      <c r="D12" s="3" t="s">
        <v>26</v>
      </c>
    </row>
    <row r="13" spans="1:4" ht="12">
      <c r="A13" s="2" t="s">
        <v>148</v>
      </c>
      <c r="B13" s="9" t="s">
        <v>154</v>
      </c>
      <c r="C13" s="7">
        <v>10</v>
      </c>
      <c r="D13" s="3" t="s">
        <v>26</v>
      </c>
    </row>
    <row r="14" spans="1:5" ht="12">
      <c r="A14" s="59" t="s">
        <v>37</v>
      </c>
      <c r="B14" s="60"/>
      <c r="C14" s="61">
        <v>160</v>
      </c>
      <c r="E14" s="70" t="s">
        <v>39</v>
      </c>
    </row>
    <row r="15" spans="1:5" ht="12">
      <c r="A15" s="59" t="s">
        <v>38</v>
      </c>
      <c r="B15" s="60"/>
      <c r="C15" s="61">
        <v>56</v>
      </c>
      <c r="E15" s="71" t="s">
        <v>40</v>
      </c>
    </row>
    <row r="16" spans="1:5" ht="12">
      <c r="A16" s="59" t="s">
        <v>134</v>
      </c>
      <c r="B16" s="60"/>
      <c r="C16" s="62">
        <f>0.20274*POWER(C14/100,0.725)*POWER(C15,0.425)</f>
        <v>1.5772710824040208</v>
      </c>
      <c r="E16" s="72" t="s">
        <v>74</v>
      </c>
    </row>
    <row r="17" spans="1:5" ht="12">
      <c r="A17" s="59" t="s">
        <v>135</v>
      </c>
      <c r="B17" s="60"/>
      <c r="C17" s="61">
        <v>100</v>
      </c>
      <c r="E17" s="70" t="s">
        <v>41</v>
      </c>
    </row>
    <row r="18" spans="1:5" ht="12">
      <c r="A18" s="59" t="s">
        <v>21</v>
      </c>
      <c r="B18" s="60"/>
      <c r="C18" s="61">
        <v>1</v>
      </c>
      <c r="E18" s="72"/>
    </row>
    <row r="19" ht="12">
      <c r="A19" s="1" t="s">
        <v>136</v>
      </c>
    </row>
    <row r="20" spans="1:6" ht="12">
      <c r="A20" t="s">
        <v>130</v>
      </c>
      <c r="B20" s="9" t="s">
        <v>149</v>
      </c>
      <c r="C20" s="3" t="s">
        <v>138</v>
      </c>
      <c r="D20" s="80" t="s">
        <v>139</v>
      </c>
      <c r="E20" s="3" t="s">
        <v>22</v>
      </c>
      <c r="F20" s="3" t="s">
        <v>23</v>
      </c>
    </row>
    <row r="21" spans="1:6" ht="12">
      <c r="A21" t="str">
        <f>+A11</f>
        <v>Melfalán</v>
      </c>
      <c r="B21" s="7">
        <f>+IF(C18&lt;10,0.18,0)</f>
        <v>0.18</v>
      </c>
      <c r="C21" s="4">
        <f>+B21*C15</f>
        <v>10.08</v>
      </c>
      <c r="D21" s="4">
        <f>+C21*$C$17/100</f>
        <v>10.08</v>
      </c>
      <c r="E21" s="8">
        <f>+D21/C11</f>
        <v>5.04</v>
      </c>
      <c r="F21" s="4">
        <f>+IF(E21=0,0,(IF(INT(E21)=E21,E21,INT(E21)+1)*4))</f>
        <v>24</v>
      </c>
    </row>
    <row r="22" spans="1:6" ht="12">
      <c r="A22" t="str">
        <f>+$A$12</f>
        <v>Prednisolona</v>
      </c>
      <c r="B22" s="7">
        <f>+IF(C18&lt;10,2,0)</f>
        <v>2</v>
      </c>
      <c r="C22" s="4">
        <f>+B22*C15</f>
        <v>112</v>
      </c>
      <c r="D22" s="4">
        <f>+C22*$C$17/100</f>
        <v>112</v>
      </c>
      <c r="E22" s="8">
        <f>+D22/C12</f>
        <v>2.24</v>
      </c>
      <c r="F22" s="4">
        <f>IF(INT(E22)=E22,E22,INT(E22)+1)*4</f>
        <v>12</v>
      </c>
    </row>
    <row r="23" spans="1:6" ht="12.75" thickBot="1">
      <c r="A23" t="str">
        <f>+A13</f>
        <v>Lenalidomida</v>
      </c>
      <c r="B23" s="7">
        <v>10</v>
      </c>
      <c r="C23" s="4">
        <v>10</v>
      </c>
      <c r="D23" s="4">
        <f>+C23*$C$17/100</f>
        <v>10</v>
      </c>
      <c r="E23" s="8">
        <f>+D23/C13</f>
        <v>1</v>
      </c>
      <c r="F23" s="4">
        <f>+E23*21</f>
        <v>21</v>
      </c>
    </row>
    <row r="24" spans="1:5" ht="12.75" thickTop="1">
      <c r="A24" s="21" t="s">
        <v>24</v>
      </c>
      <c r="B24" s="22"/>
      <c r="C24" s="23"/>
      <c r="D24" s="23"/>
      <c r="E24" s="24"/>
    </row>
    <row r="25" spans="1:5" ht="12">
      <c r="A25" s="25" t="s">
        <v>130</v>
      </c>
      <c r="B25" s="11" t="s">
        <v>131</v>
      </c>
      <c r="C25" s="11" t="s">
        <v>29</v>
      </c>
      <c r="D25" s="11" t="s">
        <v>30</v>
      </c>
      <c r="E25" s="27" t="s">
        <v>25</v>
      </c>
    </row>
    <row r="26" spans="1:5" ht="12">
      <c r="A26" s="25" t="str">
        <f>+A11</f>
        <v>Melfalán</v>
      </c>
      <c r="B26" s="11" t="str">
        <f>+B11</f>
        <v>Tabletas</v>
      </c>
      <c r="C26" s="11">
        <f>+C11</f>
        <v>2</v>
      </c>
      <c r="D26" s="11" t="str">
        <f>+D11</f>
        <v>mg</v>
      </c>
      <c r="E26" s="28">
        <f>+F21</f>
        <v>24</v>
      </c>
    </row>
    <row r="27" spans="1:5" ht="12">
      <c r="A27" s="25" t="str">
        <f>+$A$12</f>
        <v>Prednisolona</v>
      </c>
      <c r="B27" s="11" t="str">
        <f aca="true" t="shared" si="0" ref="B27:D28">+B12</f>
        <v>Tabletas</v>
      </c>
      <c r="C27" s="11">
        <f t="shared" si="0"/>
        <v>50</v>
      </c>
      <c r="D27" s="11" t="str">
        <f t="shared" si="0"/>
        <v>mg</v>
      </c>
      <c r="E27" s="27">
        <f>+F22</f>
        <v>12</v>
      </c>
    </row>
    <row r="28" spans="1:5" ht="12.75" thickBot="1">
      <c r="A28" s="29" t="str">
        <f>+A13</f>
        <v>Lenalidomida</v>
      </c>
      <c r="B28" s="30" t="str">
        <f t="shared" si="0"/>
        <v>Cápsulas</v>
      </c>
      <c r="C28" s="30">
        <f t="shared" si="0"/>
        <v>10</v>
      </c>
      <c r="D28" s="30" t="str">
        <f t="shared" si="0"/>
        <v>mg</v>
      </c>
      <c r="E28" s="76">
        <f>+F23</f>
        <v>21</v>
      </c>
    </row>
    <row r="29" spans="1:6" ht="13.5" thickBot="1" thickTop="1">
      <c r="A29" s="56"/>
      <c r="B29" s="57"/>
      <c r="C29" s="57"/>
      <c r="D29" s="57"/>
      <c r="E29" s="57"/>
      <c r="F29" s="56"/>
    </row>
    <row r="30" spans="1:6" ht="12.75" thickTop="1">
      <c r="A30" s="21" t="s">
        <v>31</v>
      </c>
      <c r="B30" s="23"/>
      <c r="C30" s="23"/>
      <c r="D30" s="23"/>
      <c r="E30" s="23"/>
      <c r="F30" s="24"/>
    </row>
    <row r="31" spans="1:6" ht="12">
      <c r="A31" s="31" t="s">
        <v>32</v>
      </c>
      <c r="B31" s="14" t="s">
        <v>164</v>
      </c>
      <c r="C31" s="14" t="s">
        <v>30</v>
      </c>
      <c r="D31" s="13" t="s">
        <v>126</v>
      </c>
      <c r="E31" s="10"/>
      <c r="F31" s="26"/>
    </row>
    <row r="32" spans="1:6" ht="12">
      <c r="A32" s="25" t="str">
        <f>+A28</f>
        <v>Lenalidomida</v>
      </c>
      <c r="B32" s="12">
        <f>+D23</f>
        <v>10</v>
      </c>
      <c r="C32" s="11" t="str">
        <f>+D13</f>
        <v>mg</v>
      </c>
      <c r="D32" s="16" t="s">
        <v>150</v>
      </c>
      <c r="E32" s="16"/>
      <c r="F32" s="26"/>
    </row>
    <row r="33" spans="1:6" ht="12">
      <c r="A33" s="25" t="str">
        <f>+A12</f>
        <v>Prednisolona</v>
      </c>
      <c r="B33" s="12">
        <f>+D22</f>
        <v>112</v>
      </c>
      <c r="C33" s="11" t="str">
        <f>+D12</f>
        <v>mg</v>
      </c>
      <c r="D33" s="16" t="str">
        <f>+IF(C18&lt;10,"Vía oral cada día, días 1, 2, 3, y 4","No se administra")</f>
        <v>Vía oral cada día, días 1, 2, 3, y 4</v>
      </c>
      <c r="E33" s="16"/>
      <c r="F33" s="26"/>
    </row>
    <row r="34" spans="1:6" ht="12.75" thickBot="1">
      <c r="A34" s="29" t="str">
        <f>+A11</f>
        <v>Melfalán</v>
      </c>
      <c r="B34" s="33">
        <f>+D21</f>
        <v>10.08</v>
      </c>
      <c r="C34" s="30" t="str">
        <f>+D11</f>
        <v>mg</v>
      </c>
      <c r="D34" s="34" t="str">
        <f>+IF(C18&lt;10,"Vía oral cada día, días 1, 2, 3, y 4","No se administra")</f>
        <v>Vía oral cada día, días 1, 2, 3, y 4</v>
      </c>
      <c r="E34" s="34"/>
      <c r="F34" s="35"/>
    </row>
    <row r="35" ht="12.75" thickTop="1">
      <c r="A35" s="66" t="s">
        <v>185</v>
      </c>
    </row>
    <row r="36" ht="12">
      <c r="A36" s="66" t="s">
        <v>186</v>
      </c>
    </row>
    <row r="37" spans="1:2" ht="12">
      <c r="A37" s="18" t="s">
        <v>48</v>
      </c>
      <c r="B37" s="18" t="s">
        <v>49</v>
      </c>
    </row>
    <row r="38" ht="12">
      <c r="A38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79</v>
      </c>
    </row>
    <row r="4" ht="12">
      <c r="A4" s="1" t="s">
        <v>163</v>
      </c>
    </row>
    <row r="5" spans="1:3" ht="12">
      <c r="A5" t="s">
        <v>125</v>
      </c>
      <c r="C5" s="88" t="s">
        <v>192</v>
      </c>
    </row>
    <row r="6" spans="1:3" ht="12">
      <c r="A6" t="s">
        <v>126</v>
      </c>
      <c r="C6" s="18" t="s">
        <v>193</v>
      </c>
    </row>
    <row r="7" spans="1:3" ht="12.75">
      <c r="A7" t="s">
        <v>127</v>
      </c>
      <c r="C7" s="75" t="s">
        <v>189</v>
      </c>
    </row>
    <row r="8" spans="1:3" ht="12">
      <c r="A8" t="s">
        <v>162</v>
      </c>
      <c r="C8" s="73" t="s">
        <v>82</v>
      </c>
    </row>
    <row r="9" spans="1:6" ht="12">
      <c r="A9" s="1" t="s">
        <v>128</v>
      </c>
      <c r="B9" s="1"/>
      <c r="C9" s="1"/>
      <c r="D9" s="1"/>
      <c r="E9" s="1"/>
      <c r="F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2" t="s">
        <v>93</v>
      </c>
      <c r="B11" s="9" t="s">
        <v>85</v>
      </c>
      <c r="C11" s="3">
        <v>100</v>
      </c>
      <c r="D11" s="9" t="s">
        <v>26</v>
      </c>
    </row>
    <row r="12" spans="1:4" ht="12">
      <c r="A12" s="73" t="s">
        <v>84</v>
      </c>
      <c r="B12" s="74" t="s">
        <v>85</v>
      </c>
      <c r="C12" s="7">
        <v>2</v>
      </c>
      <c r="D12" s="3" t="s">
        <v>20</v>
      </c>
    </row>
    <row r="13" spans="1:4" ht="12">
      <c r="A13" s="73" t="s">
        <v>43</v>
      </c>
      <c r="B13" s="74" t="s">
        <v>85</v>
      </c>
      <c r="C13" s="7">
        <v>50</v>
      </c>
      <c r="D13" s="3" t="s">
        <v>26</v>
      </c>
    </row>
    <row r="14" spans="1:4" ht="12">
      <c r="A14" s="73" t="s">
        <v>86</v>
      </c>
      <c r="B14" s="9" t="s">
        <v>129</v>
      </c>
      <c r="C14" s="7">
        <v>3.5</v>
      </c>
      <c r="D14" s="3" t="s">
        <v>26</v>
      </c>
    </row>
    <row r="15" spans="1:5" ht="12">
      <c r="A15" s="59" t="s">
        <v>37</v>
      </c>
      <c r="B15" s="60"/>
      <c r="C15" s="61">
        <v>160</v>
      </c>
      <c r="E15" s="70" t="s">
        <v>39</v>
      </c>
    </row>
    <row r="16" spans="1:5" ht="12">
      <c r="A16" s="59" t="s">
        <v>38</v>
      </c>
      <c r="B16" s="60"/>
      <c r="C16" s="61">
        <v>56</v>
      </c>
      <c r="E16" s="71" t="s">
        <v>40</v>
      </c>
    </row>
    <row r="17" spans="1:5" ht="12">
      <c r="A17" s="59" t="s">
        <v>134</v>
      </c>
      <c r="B17" s="60"/>
      <c r="C17" s="62">
        <f>0.20274*POWER(C15/100,0.725)*POWER(C16,0.425)</f>
        <v>1.5772710824040208</v>
      </c>
      <c r="E17" s="72" t="s">
        <v>74</v>
      </c>
    </row>
    <row r="18" spans="1:5" ht="12">
      <c r="A18" s="59" t="s">
        <v>135</v>
      </c>
      <c r="B18" s="60"/>
      <c r="C18" s="61">
        <v>100</v>
      </c>
      <c r="E18" s="70" t="s">
        <v>41</v>
      </c>
    </row>
    <row r="19" spans="1:5" ht="12">
      <c r="A19" s="59" t="s">
        <v>21</v>
      </c>
      <c r="B19" s="60"/>
      <c r="C19" s="61">
        <v>1</v>
      </c>
      <c r="E19" s="72"/>
    </row>
    <row r="20" ht="12">
      <c r="A20" s="1" t="s">
        <v>136</v>
      </c>
    </row>
    <row r="21" spans="1:6" ht="12">
      <c r="A21" t="s">
        <v>130</v>
      </c>
      <c r="B21" s="3" t="s">
        <v>137</v>
      </c>
      <c r="C21" s="3" t="s">
        <v>138</v>
      </c>
      <c r="D21" s="15" t="s">
        <v>139</v>
      </c>
      <c r="E21" s="3" t="s">
        <v>22</v>
      </c>
      <c r="F21" s="3" t="s">
        <v>23</v>
      </c>
    </row>
    <row r="22" spans="1:6" ht="12">
      <c r="A22" t="str">
        <f>+A11</f>
        <v>Talidomida</v>
      </c>
      <c r="B22" s="7">
        <v>50</v>
      </c>
      <c r="C22" s="4">
        <v>50</v>
      </c>
      <c r="D22" s="4">
        <f>+C22*$C$18/100</f>
        <v>50</v>
      </c>
      <c r="E22" s="8">
        <f>+D22/C11</f>
        <v>0.5</v>
      </c>
      <c r="F22" s="3">
        <f>+INT(IF(C19&lt;10,35,28)*E22)+1</f>
        <v>18</v>
      </c>
    </row>
    <row r="23" spans="1:6" ht="12">
      <c r="A23" t="str">
        <f>+A12</f>
        <v>Melfalán</v>
      </c>
      <c r="B23" s="7">
        <v>9</v>
      </c>
      <c r="C23" s="4">
        <f>+IF(C19&lt;10,B23*$C$17,0)</f>
        <v>14.195439741636187</v>
      </c>
      <c r="D23" s="4">
        <f>+C23*$C$18/100</f>
        <v>14.195439741636187</v>
      </c>
      <c r="E23" s="8">
        <f>+D23/C12</f>
        <v>7.097719870818094</v>
      </c>
      <c r="F23" s="4">
        <f>IF(C19&lt;10,IF(INT(E23)=E23,E23,INT(E23)+1)*4,0)</f>
        <v>32</v>
      </c>
    </row>
    <row r="24" spans="1:6" ht="12">
      <c r="A24" t="str">
        <f>+$A$13</f>
        <v>Prednisolona</v>
      </c>
      <c r="B24" s="7">
        <v>60</v>
      </c>
      <c r="C24" s="4">
        <f>+IF(C19&lt;10,B24*$C$17,0)</f>
        <v>94.63626494424125</v>
      </c>
      <c r="D24" s="4">
        <f>+C24*$C$18/100</f>
        <v>94.63626494424125</v>
      </c>
      <c r="E24" s="8">
        <f>+D24/C13</f>
        <v>1.8927252988848249</v>
      </c>
      <c r="F24" s="4">
        <f>IF(C19&lt;10,IF(INT(E24)=E24,E24,INT(E24)+1)*4,0)</f>
        <v>8</v>
      </c>
    </row>
    <row r="25" spans="1:6" ht="12.75" thickBot="1">
      <c r="A25" t="str">
        <f>+A14</f>
        <v>Bortezomib</v>
      </c>
      <c r="B25" s="7">
        <v>1.3</v>
      </c>
      <c r="C25" s="4">
        <f>+B25*$C$17</f>
        <v>2.0504524071252272</v>
      </c>
      <c r="D25" s="4">
        <f>+C25*$C$18/100</f>
        <v>2.0504524071252272</v>
      </c>
      <c r="E25" s="8">
        <f>+D25/C14</f>
        <v>0.5858435448929221</v>
      </c>
      <c r="F25" s="4">
        <f>IF(C19&gt;9,(IF(INT(E25)=E25,E25,INT(E25)+1)*2),(IF(INT(E25)=E25,E25,INT(E25)+1)*4))</f>
        <v>4</v>
      </c>
    </row>
    <row r="26" spans="1:5" ht="12.75" thickTop="1">
      <c r="A26" s="21" t="s">
        <v>24</v>
      </c>
      <c r="B26" s="22"/>
      <c r="C26" s="23"/>
      <c r="D26" s="23"/>
      <c r="E26" s="24"/>
    </row>
    <row r="27" spans="1:5" ht="12">
      <c r="A27" s="25" t="s">
        <v>130</v>
      </c>
      <c r="B27" s="11" t="s">
        <v>131</v>
      </c>
      <c r="C27" s="11" t="s">
        <v>29</v>
      </c>
      <c r="D27" s="11" t="s">
        <v>30</v>
      </c>
      <c r="E27" s="27" t="s">
        <v>25</v>
      </c>
    </row>
    <row r="28" spans="1:5" ht="12">
      <c r="A28" s="25" t="str">
        <f>+A11</f>
        <v>Talidomida</v>
      </c>
      <c r="B28" s="11" t="str">
        <f>+B11</f>
        <v>Tabletas</v>
      </c>
      <c r="C28" s="12">
        <f>+D22</f>
        <v>50</v>
      </c>
      <c r="D28" s="11" t="str">
        <f>+D11</f>
        <v>mg</v>
      </c>
      <c r="E28" s="27">
        <f>+F22</f>
        <v>18</v>
      </c>
    </row>
    <row r="29" spans="1:5" ht="12">
      <c r="A29" s="25" t="str">
        <f>+A12</f>
        <v>Melfalán</v>
      </c>
      <c r="B29" s="11" t="str">
        <f>+B12</f>
        <v>Tabletas</v>
      </c>
      <c r="C29" s="11">
        <f>+C12</f>
        <v>2</v>
      </c>
      <c r="D29" s="11" t="str">
        <f>+D12</f>
        <v>mg</v>
      </c>
      <c r="E29" s="28">
        <f>+F23</f>
        <v>32</v>
      </c>
    </row>
    <row r="30" spans="1:5" ht="12">
      <c r="A30" s="25" t="str">
        <f>+$A$13</f>
        <v>Prednisolona</v>
      </c>
      <c r="B30" s="11" t="str">
        <f aca="true" t="shared" si="0" ref="B30:D31">+B13</f>
        <v>Tabletas</v>
      </c>
      <c r="C30" s="11">
        <f t="shared" si="0"/>
        <v>50</v>
      </c>
      <c r="D30" s="11" t="str">
        <f t="shared" si="0"/>
        <v>mg</v>
      </c>
      <c r="E30" s="27">
        <f>+F24</f>
        <v>8</v>
      </c>
    </row>
    <row r="31" spans="1:5" ht="12.75" thickBot="1">
      <c r="A31" s="29" t="str">
        <f>+A14</f>
        <v>Bortezomib</v>
      </c>
      <c r="B31" s="30" t="str">
        <f t="shared" si="0"/>
        <v>Amp</v>
      </c>
      <c r="C31" s="30">
        <f t="shared" si="0"/>
        <v>3.5</v>
      </c>
      <c r="D31" s="30" t="str">
        <f t="shared" si="0"/>
        <v>mg</v>
      </c>
      <c r="E31" s="76">
        <f>+F25</f>
        <v>4</v>
      </c>
    </row>
    <row r="32" spans="1:6" ht="13.5" thickBot="1" thickTop="1">
      <c r="A32" s="56"/>
      <c r="B32" s="57"/>
      <c r="C32" s="57"/>
      <c r="D32" s="57"/>
      <c r="E32" s="57"/>
      <c r="F32" s="56"/>
    </row>
    <row r="33" spans="1:6" ht="12.75" thickTop="1">
      <c r="A33" s="21" t="s">
        <v>31</v>
      </c>
      <c r="B33" s="23"/>
      <c r="C33" s="23"/>
      <c r="D33" s="23"/>
      <c r="E33" s="23"/>
      <c r="F33" s="24"/>
    </row>
    <row r="34" spans="1:6" ht="12">
      <c r="A34" s="31"/>
      <c r="B34" s="14" t="s">
        <v>164</v>
      </c>
      <c r="C34" s="14" t="s">
        <v>30</v>
      </c>
      <c r="D34" s="13" t="s">
        <v>126</v>
      </c>
      <c r="E34" s="10"/>
      <c r="F34" s="26"/>
    </row>
    <row r="35" spans="1:6" ht="12">
      <c r="A35" s="85" t="str">
        <f>+A11</f>
        <v>Talidomida</v>
      </c>
      <c r="B35" s="86">
        <f>+D22</f>
        <v>50</v>
      </c>
      <c r="C35" s="87" t="str">
        <f>+D11</f>
        <v>mg</v>
      </c>
      <c r="D35" s="16" t="s">
        <v>218</v>
      </c>
      <c r="E35" s="10"/>
      <c r="F35" s="26"/>
    </row>
    <row r="36" spans="1:6" ht="12">
      <c r="A36" s="25" t="str">
        <f>+A31</f>
        <v>Bortezomib</v>
      </c>
      <c r="B36" s="12">
        <f>+D25</f>
        <v>2.0504524071252272</v>
      </c>
      <c r="C36" s="11" t="str">
        <f>+D14</f>
        <v>mg</v>
      </c>
      <c r="D36" s="77" t="str">
        <f>+IF(C19&lt;10,"Intravenoso días 1, 8, 15, y 22","Intravenoso días 1 y 15")</f>
        <v>Intravenoso días 1, 8, 15, y 22</v>
      </c>
      <c r="E36" s="16"/>
      <c r="F36" s="26"/>
    </row>
    <row r="37" spans="1:6" ht="12">
      <c r="A37" s="25" t="str">
        <f>+A13</f>
        <v>Prednisolona</v>
      </c>
      <c r="B37" s="12">
        <f>+D24</f>
        <v>94.63626494424125</v>
      </c>
      <c r="C37" s="11" t="str">
        <f>+D13</f>
        <v>mg</v>
      </c>
      <c r="D37" s="77" t="str">
        <f>+IF(C19&lt;10,"Vía oral cada día, días 1, 2, 3, y 4","No se administra")</f>
        <v>Vía oral cada día, días 1, 2, 3, y 4</v>
      </c>
      <c r="E37" s="16"/>
      <c r="F37" s="26"/>
    </row>
    <row r="38" spans="1:6" ht="12.75" thickBot="1">
      <c r="A38" s="29" t="str">
        <f>+A12</f>
        <v>Melfalán</v>
      </c>
      <c r="B38" s="33">
        <f>+D23</f>
        <v>14.195439741636187</v>
      </c>
      <c r="C38" s="30" t="str">
        <f>+D12</f>
        <v>mg</v>
      </c>
      <c r="D38" s="78" t="str">
        <f>+IF(C19&lt;10,"Vía oral cada día, días 1, 2, 3, y 4","No se administra")</f>
        <v>Vía oral cada día, días 1, 2, 3, y 4</v>
      </c>
      <c r="E38" s="34"/>
      <c r="F38" s="35"/>
    </row>
    <row r="39" ht="12.75" thickTop="1">
      <c r="A39" s="66" t="s">
        <v>194</v>
      </c>
    </row>
    <row r="40" ht="12">
      <c r="A40" s="66" t="s">
        <v>195</v>
      </c>
    </row>
    <row r="41" ht="12">
      <c r="A41" s="66" t="s">
        <v>196</v>
      </c>
    </row>
    <row r="42" spans="1:6" ht="12">
      <c r="A42" s="66" t="s">
        <v>197</v>
      </c>
      <c r="B42" s="66"/>
      <c r="C42" s="66"/>
      <c r="D42" s="66"/>
      <c r="E42" s="66"/>
      <c r="F42" s="66"/>
    </row>
    <row r="43" spans="1:2" ht="12">
      <c r="A43" s="18" t="s">
        <v>48</v>
      </c>
      <c r="B43" s="18" t="s">
        <v>49</v>
      </c>
    </row>
    <row r="44" ht="12">
      <c r="A44" t="s">
        <v>45</v>
      </c>
    </row>
  </sheetData>
  <sheetProtection/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">
      <c r="A1" s="89" t="s">
        <v>107</v>
      </c>
      <c r="B1" s="45"/>
      <c r="C1" s="46"/>
      <c r="D1" s="50"/>
      <c r="E1" s="45"/>
      <c r="F1" s="45"/>
      <c r="G1" s="45"/>
    </row>
    <row r="2" spans="1:7" ht="12">
      <c r="A2" s="90" t="s">
        <v>110</v>
      </c>
      <c r="B2" s="45"/>
      <c r="C2" s="45"/>
      <c r="D2" s="49"/>
      <c r="E2" s="45"/>
      <c r="F2" s="45"/>
      <c r="G2" s="45"/>
    </row>
    <row r="3" spans="1:7" ht="12">
      <c r="A3" s="47" t="s">
        <v>109</v>
      </c>
      <c r="B3" s="45"/>
      <c r="C3" s="45"/>
      <c r="D3" s="45"/>
      <c r="E3" s="45"/>
      <c r="F3" s="91"/>
      <c r="G3" s="48" t="s">
        <v>104</v>
      </c>
    </row>
    <row r="4" ht="12">
      <c r="A4" s="1" t="s">
        <v>163</v>
      </c>
    </row>
    <row r="5" spans="1:3" ht="12">
      <c r="A5" t="s">
        <v>125</v>
      </c>
      <c r="C5" s="1" t="s">
        <v>105</v>
      </c>
    </row>
    <row r="6" spans="1:7" s="1" customFormat="1" ht="12">
      <c r="A6" t="s">
        <v>126</v>
      </c>
      <c r="B6"/>
      <c r="C6" s="18" t="s">
        <v>106</v>
      </c>
      <c r="D6"/>
      <c r="E6"/>
      <c r="F6"/>
      <c r="G6"/>
    </row>
    <row r="7" spans="1:3" ht="12">
      <c r="A7" t="s">
        <v>127</v>
      </c>
      <c r="C7" t="s">
        <v>113</v>
      </c>
    </row>
    <row r="8" spans="1:3" ht="12">
      <c r="A8" t="s">
        <v>162</v>
      </c>
      <c r="C8" t="s">
        <v>114</v>
      </c>
    </row>
    <row r="9" spans="1:7" ht="12">
      <c r="A9" s="1" t="s">
        <v>128</v>
      </c>
      <c r="B9" s="1"/>
      <c r="C9" s="1"/>
      <c r="D9" s="1"/>
      <c r="E9" s="1"/>
      <c r="F9" s="1"/>
      <c r="G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2" t="s">
        <v>42</v>
      </c>
      <c r="B11" s="9" t="s">
        <v>129</v>
      </c>
      <c r="C11" s="7">
        <v>1</v>
      </c>
      <c r="D11" s="3" t="s">
        <v>26</v>
      </c>
    </row>
    <row r="12" spans="1:4" ht="12">
      <c r="A12" s="2" t="s">
        <v>132</v>
      </c>
      <c r="B12" s="9" t="s">
        <v>129</v>
      </c>
      <c r="C12" s="7">
        <v>10</v>
      </c>
      <c r="D12" s="3" t="s">
        <v>26</v>
      </c>
    </row>
    <row r="13" spans="1:4" ht="12">
      <c r="A13" s="2" t="s">
        <v>133</v>
      </c>
      <c r="B13" s="9" t="s">
        <v>129</v>
      </c>
      <c r="C13" s="7">
        <v>1000</v>
      </c>
      <c r="D13" s="3" t="s">
        <v>26</v>
      </c>
    </row>
    <row r="14" spans="1:4" ht="12.75" thickBot="1">
      <c r="A14" s="2" t="s">
        <v>177</v>
      </c>
      <c r="B14" s="9" t="s">
        <v>129</v>
      </c>
      <c r="C14" s="7">
        <v>100</v>
      </c>
      <c r="D14" s="3" t="s">
        <v>26</v>
      </c>
    </row>
    <row r="15" spans="1:5" ht="12.75" thickTop="1">
      <c r="A15" s="36" t="s">
        <v>37</v>
      </c>
      <c r="B15" s="37"/>
      <c r="C15" s="38">
        <v>160</v>
      </c>
      <c r="E15" s="5" t="s">
        <v>39</v>
      </c>
    </row>
    <row r="16" spans="1:5" ht="12">
      <c r="A16" s="39" t="s">
        <v>38</v>
      </c>
      <c r="B16" s="20"/>
      <c r="C16" s="40">
        <v>56</v>
      </c>
      <c r="E16" s="6" t="s">
        <v>40</v>
      </c>
    </row>
    <row r="17" spans="1:5" ht="12">
      <c r="A17" s="39" t="s">
        <v>134</v>
      </c>
      <c r="B17" s="20"/>
      <c r="C17" s="41">
        <f>0.20274*POWER(C15/100,0.725)*POWER(C16,0.425)</f>
        <v>1.5772710824040208</v>
      </c>
      <c r="E17" s="5" t="s">
        <v>47</v>
      </c>
    </row>
    <row r="18" spans="1:5" ht="12.75" thickBot="1">
      <c r="A18" s="42" t="s">
        <v>135</v>
      </c>
      <c r="B18" s="43"/>
      <c r="C18" s="44">
        <v>100</v>
      </c>
      <c r="E18" s="5" t="s">
        <v>41</v>
      </c>
    </row>
    <row r="19" ht="12.75" thickTop="1">
      <c r="A19" s="1" t="s">
        <v>136</v>
      </c>
    </row>
    <row r="20" spans="1:6" ht="12">
      <c r="A20" t="s">
        <v>130</v>
      </c>
      <c r="B20" s="3" t="s">
        <v>137</v>
      </c>
      <c r="C20" s="3" t="s">
        <v>138</v>
      </c>
      <c r="D20" s="15" t="s">
        <v>139</v>
      </c>
      <c r="E20" s="3" t="s">
        <v>22</v>
      </c>
      <c r="F20" s="3" t="s">
        <v>23</v>
      </c>
    </row>
    <row r="21" spans="1:6" ht="12">
      <c r="A21" t="str">
        <f>+$A$11</f>
        <v>Vincristina</v>
      </c>
      <c r="B21" s="7">
        <v>1.2</v>
      </c>
      <c r="C21" s="4">
        <f>+B21*$C$17</f>
        <v>1.8927252988848249</v>
      </c>
      <c r="D21" s="4">
        <f>+C21*$C$18/100</f>
        <v>1.8927252988848249</v>
      </c>
      <c r="E21" s="8">
        <f>+D21/C11</f>
        <v>1.8927252988848249</v>
      </c>
      <c r="F21" s="4">
        <f>IF(INT(E21)=E21,E21,INT(E21)+1)</f>
        <v>2</v>
      </c>
    </row>
    <row r="22" spans="1:6" ht="12">
      <c r="A22" t="str">
        <f>+$A$12</f>
        <v>Doxorrubicina</v>
      </c>
      <c r="B22" s="7">
        <v>50</v>
      </c>
      <c r="C22" s="4">
        <f>+B22*$C$17</f>
        <v>78.86355412020104</v>
      </c>
      <c r="D22" s="4">
        <f>+C22*$C$18/100</f>
        <v>78.86355412020104</v>
      </c>
      <c r="E22" s="8">
        <f>+D22/C12</f>
        <v>7.886355412020104</v>
      </c>
      <c r="F22" s="4">
        <f>IF(INT(E22)=E22,E22,INT(E22)+1)</f>
        <v>8</v>
      </c>
    </row>
    <row r="23" spans="1:6" ht="12">
      <c r="A23" t="str">
        <f>+$A$13</f>
        <v>Ciclofosfamida</v>
      </c>
      <c r="B23" s="7">
        <v>750</v>
      </c>
      <c r="C23" s="4">
        <f>+B23*$C$17</f>
        <v>1182.9533118030156</v>
      </c>
      <c r="D23" s="4">
        <f>+C23*$C$18/100</f>
        <v>1182.9533118030156</v>
      </c>
      <c r="E23" s="8">
        <f>+D23/C13</f>
        <v>1.1829533118030156</v>
      </c>
      <c r="F23" s="4">
        <f>IF(INT(E23)=E23,E23,INT(E23)+1)</f>
        <v>2</v>
      </c>
    </row>
    <row r="24" spans="1:6" ht="12.75" thickBot="1">
      <c r="A24" t="str">
        <f>+A14</f>
        <v>Rituximab</v>
      </c>
      <c r="B24" s="7">
        <v>375</v>
      </c>
      <c r="C24" s="4">
        <f>+B24*$C$17</f>
        <v>591.4766559015078</v>
      </c>
      <c r="D24" s="4">
        <f>+C24*$C$18/100</f>
        <v>591.4766559015078</v>
      </c>
      <c r="E24" s="8">
        <f>+D24/C14</f>
        <v>5.914766559015078</v>
      </c>
      <c r="F24" s="4">
        <f>IF(INT(E24)=E24,E24,INT(E24)+1)</f>
        <v>6</v>
      </c>
    </row>
    <row r="25" spans="1:5" ht="12.75" thickTop="1">
      <c r="A25" s="21" t="s">
        <v>24</v>
      </c>
      <c r="B25" s="22"/>
      <c r="C25" s="23"/>
      <c r="D25" s="23"/>
      <c r="E25" s="24"/>
    </row>
    <row r="26" spans="1:5" ht="12">
      <c r="A26" s="25"/>
      <c r="B26" s="10"/>
      <c r="C26" s="10"/>
      <c r="D26" s="10"/>
      <c r="E26" s="26"/>
    </row>
    <row r="27" spans="1:5" ht="12">
      <c r="A27" s="25" t="s">
        <v>130</v>
      </c>
      <c r="B27" s="11" t="s">
        <v>131</v>
      </c>
      <c r="C27" s="11" t="s">
        <v>29</v>
      </c>
      <c r="D27" s="11" t="s">
        <v>30</v>
      </c>
      <c r="E27" s="27" t="s">
        <v>25</v>
      </c>
    </row>
    <row r="28" spans="1:5" ht="12">
      <c r="A28" s="25" t="str">
        <f>+$A$11</f>
        <v>Vincristina</v>
      </c>
      <c r="B28" s="11" t="str">
        <f aca="true" t="shared" si="0" ref="B28:C30">+B11</f>
        <v>Amp</v>
      </c>
      <c r="C28" s="11">
        <f t="shared" si="0"/>
        <v>1</v>
      </c>
      <c r="D28" s="11" t="str">
        <f>+D11</f>
        <v>mg</v>
      </c>
      <c r="E28" s="27">
        <f>+F21</f>
        <v>2</v>
      </c>
    </row>
    <row r="29" spans="1:5" ht="12">
      <c r="A29" s="25" t="str">
        <f>+$A$12</f>
        <v>Doxorrubicina</v>
      </c>
      <c r="B29" s="11" t="str">
        <f t="shared" si="0"/>
        <v>Amp</v>
      </c>
      <c r="C29" s="11">
        <f t="shared" si="0"/>
        <v>10</v>
      </c>
      <c r="D29" s="11" t="str">
        <f>+D12</f>
        <v>mg</v>
      </c>
      <c r="E29" s="27">
        <f>+F22</f>
        <v>8</v>
      </c>
    </row>
    <row r="30" spans="1:5" ht="12">
      <c r="A30" s="25" t="str">
        <f>+$A$13</f>
        <v>Ciclofosfamida</v>
      </c>
      <c r="B30" s="11" t="str">
        <f t="shared" si="0"/>
        <v>Amp</v>
      </c>
      <c r="C30" s="11">
        <f t="shared" si="0"/>
        <v>1000</v>
      </c>
      <c r="D30" s="11" t="str">
        <f>+D13</f>
        <v>mg</v>
      </c>
      <c r="E30" s="27">
        <f>+F23</f>
        <v>2</v>
      </c>
    </row>
    <row r="31" spans="1:5" ht="12">
      <c r="A31" s="25" t="str">
        <f>+A14</f>
        <v>Rituximab</v>
      </c>
      <c r="B31" s="11" t="str">
        <f>+B14</f>
        <v>Amp</v>
      </c>
      <c r="C31" s="11">
        <f>+C14</f>
        <v>100</v>
      </c>
      <c r="D31" s="11" t="str">
        <f>+D14</f>
        <v>mg</v>
      </c>
      <c r="E31" s="28">
        <f>+F24</f>
        <v>6</v>
      </c>
    </row>
    <row r="32" spans="1:5" ht="12">
      <c r="A32" s="25" t="s">
        <v>99</v>
      </c>
      <c r="B32" s="11" t="s">
        <v>44</v>
      </c>
      <c r="C32" s="11">
        <v>500</v>
      </c>
      <c r="D32" s="11" t="s">
        <v>26</v>
      </c>
      <c r="E32" s="28">
        <v>2</v>
      </c>
    </row>
    <row r="33" spans="1:5" ht="12">
      <c r="A33" s="25" t="s">
        <v>100</v>
      </c>
      <c r="B33" s="11" t="s">
        <v>129</v>
      </c>
      <c r="C33" s="11">
        <v>100</v>
      </c>
      <c r="D33" s="11" t="s">
        <v>26</v>
      </c>
      <c r="E33" s="28">
        <v>1</v>
      </c>
    </row>
    <row r="34" spans="1:9" ht="12">
      <c r="A34" s="25" t="s">
        <v>43</v>
      </c>
      <c r="B34" s="11" t="s">
        <v>44</v>
      </c>
      <c r="C34" s="11">
        <v>50</v>
      </c>
      <c r="D34" s="11" t="s">
        <v>26</v>
      </c>
      <c r="E34" s="28">
        <v>10</v>
      </c>
      <c r="H34" s="17"/>
      <c r="I34" s="17"/>
    </row>
    <row r="35" spans="1:9" ht="12">
      <c r="A35" s="25" t="s">
        <v>35</v>
      </c>
      <c r="B35" s="11" t="s">
        <v>129</v>
      </c>
      <c r="C35" s="11">
        <v>4</v>
      </c>
      <c r="D35" s="11" t="s">
        <v>26</v>
      </c>
      <c r="E35" s="27">
        <v>5</v>
      </c>
      <c r="H35" s="17"/>
      <c r="I35" s="17"/>
    </row>
    <row r="36" spans="1:9" ht="12.75" thickBot="1">
      <c r="A36" s="25" t="s">
        <v>36</v>
      </c>
      <c r="B36" s="11" t="s">
        <v>129</v>
      </c>
      <c r="C36" s="11">
        <v>8</v>
      </c>
      <c r="D36" s="11" t="s">
        <v>26</v>
      </c>
      <c r="E36" s="27">
        <v>1</v>
      </c>
      <c r="H36" s="17"/>
      <c r="I36" s="17"/>
    </row>
    <row r="37" spans="1:9" ht="12.75" thickTop="1">
      <c r="A37" s="21" t="s">
        <v>31</v>
      </c>
      <c r="B37" s="23"/>
      <c r="C37" s="23"/>
      <c r="D37" s="23"/>
      <c r="E37" s="23"/>
      <c r="F37" s="23"/>
      <c r="G37" s="24"/>
      <c r="H37" s="17"/>
      <c r="I37" s="17"/>
    </row>
    <row r="38" spans="1:9" ht="12">
      <c r="A38" s="25"/>
      <c r="B38" s="10"/>
      <c r="C38" s="10"/>
      <c r="D38" s="10"/>
      <c r="E38" s="10"/>
      <c r="F38" s="10"/>
      <c r="G38" s="26"/>
      <c r="H38" s="17"/>
      <c r="I38" s="17"/>
    </row>
    <row r="39" spans="1:9" ht="12">
      <c r="A39" s="31" t="s">
        <v>32</v>
      </c>
      <c r="B39" s="13"/>
      <c r="C39" s="14" t="s">
        <v>164</v>
      </c>
      <c r="D39" s="14" t="s">
        <v>30</v>
      </c>
      <c r="E39" s="13" t="s">
        <v>126</v>
      </c>
      <c r="F39" s="10"/>
      <c r="G39" s="26"/>
      <c r="H39" s="17"/>
      <c r="I39" s="17"/>
    </row>
    <row r="40" spans="1:9" ht="12">
      <c r="A40" s="25" t="s">
        <v>33</v>
      </c>
      <c r="B40" s="10"/>
      <c r="C40" s="11">
        <v>8</v>
      </c>
      <c r="D40" s="11" t="s">
        <v>26</v>
      </c>
      <c r="E40" s="16" t="s">
        <v>34</v>
      </c>
      <c r="F40" s="16"/>
      <c r="G40" s="26"/>
      <c r="H40" s="17"/>
      <c r="I40" s="17"/>
    </row>
    <row r="41" spans="1:9" ht="12">
      <c r="A41" s="25" t="s">
        <v>35</v>
      </c>
      <c r="B41" s="10"/>
      <c r="C41" s="11">
        <v>20</v>
      </c>
      <c r="D41" s="11" t="s">
        <v>26</v>
      </c>
      <c r="E41" s="16" t="s">
        <v>34</v>
      </c>
      <c r="F41" s="16"/>
      <c r="G41" s="26"/>
      <c r="H41" s="17"/>
      <c r="I41" s="17"/>
    </row>
    <row r="42" spans="1:9" ht="12">
      <c r="A42" s="25" t="str">
        <f>+A32</f>
        <v>Acetaminofen</v>
      </c>
      <c r="B42" s="10"/>
      <c r="C42" s="11">
        <v>1000</v>
      </c>
      <c r="D42" s="11" t="str">
        <f>+D32</f>
        <v>mg</v>
      </c>
      <c r="E42" s="16" t="s">
        <v>102</v>
      </c>
      <c r="F42" s="16"/>
      <c r="G42" s="26"/>
      <c r="H42" s="17"/>
      <c r="I42" s="17"/>
    </row>
    <row r="43" spans="1:9" ht="12">
      <c r="A43" s="25" t="str">
        <f>+A33</f>
        <v>Difenhidramina</v>
      </c>
      <c r="B43" s="10"/>
      <c r="C43" s="11">
        <v>50</v>
      </c>
      <c r="D43" s="11" t="str">
        <f>+D33</f>
        <v>mg</v>
      </c>
      <c r="E43" s="16" t="s">
        <v>103</v>
      </c>
      <c r="F43" s="16"/>
      <c r="G43" s="26"/>
      <c r="H43" s="17"/>
      <c r="I43" s="17"/>
    </row>
    <row r="44" spans="1:9" ht="12">
      <c r="A44" s="31" t="s">
        <v>98</v>
      </c>
      <c r="B44" s="10"/>
      <c r="C44" s="11"/>
      <c r="D44" s="11"/>
      <c r="E44" s="16"/>
      <c r="F44" s="16"/>
      <c r="G44" s="26"/>
      <c r="H44" s="17"/>
      <c r="I44" s="17"/>
    </row>
    <row r="45" spans="1:9" ht="12">
      <c r="A45" s="25" t="str">
        <f>+$A$11</f>
        <v>Vincristina</v>
      </c>
      <c r="B45" s="10"/>
      <c r="C45" s="12">
        <f>+$D$21</f>
        <v>1.8927252988848249</v>
      </c>
      <c r="D45" s="11" t="s">
        <v>26</v>
      </c>
      <c r="E45" s="16" t="s">
        <v>27</v>
      </c>
      <c r="F45" s="16"/>
      <c r="G45" s="26"/>
      <c r="H45" s="17"/>
      <c r="I45" s="17"/>
    </row>
    <row r="46" spans="1:9" ht="12">
      <c r="A46" s="25" t="str">
        <f>+$A$12</f>
        <v>Doxorrubicina</v>
      </c>
      <c r="B46" s="10"/>
      <c r="C46" s="12">
        <f>+$D$22</f>
        <v>78.86355412020104</v>
      </c>
      <c r="D46" s="11" t="s">
        <v>26</v>
      </c>
      <c r="E46" s="16" t="s">
        <v>27</v>
      </c>
      <c r="F46" s="16"/>
      <c r="G46" s="26"/>
      <c r="H46" s="17"/>
      <c r="I46" s="17"/>
    </row>
    <row r="47" spans="1:9" ht="12">
      <c r="A47" s="25" t="str">
        <f>+$A$13</f>
        <v>Ciclofosfamida</v>
      </c>
      <c r="B47" s="10"/>
      <c r="C47" s="12">
        <f>+$D$23</f>
        <v>1182.9533118030156</v>
      </c>
      <c r="D47" s="11" t="s">
        <v>26</v>
      </c>
      <c r="E47" s="16" t="s">
        <v>28</v>
      </c>
      <c r="F47" s="16"/>
      <c r="G47" s="26"/>
      <c r="H47" s="17"/>
      <c r="I47" s="17"/>
    </row>
    <row r="48" spans="1:9" ht="12">
      <c r="A48" s="25" t="str">
        <f>+A14</f>
        <v>Rituximab</v>
      </c>
      <c r="B48" s="10"/>
      <c r="C48" s="12">
        <f>+D24</f>
        <v>591.4766559015078</v>
      </c>
      <c r="D48" s="11" t="str">
        <f>+D14</f>
        <v>mg</v>
      </c>
      <c r="E48" s="16" t="s">
        <v>101</v>
      </c>
      <c r="F48" s="16"/>
      <c r="G48" s="26"/>
      <c r="H48" s="17"/>
      <c r="I48" s="17"/>
    </row>
    <row r="49" spans="1:9" ht="12.75" thickBot="1">
      <c r="A49" s="29" t="s">
        <v>43</v>
      </c>
      <c r="B49" s="32"/>
      <c r="C49" s="33"/>
      <c r="D49" s="30"/>
      <c r="E49" s="34" t="s">
        <v>46</v>
      </c>
      <c r="F49" s="34"/>
      <c r="G49" s="35"/>
      <c r="H49" s="17"/>
      <c r="I49" s="17"/>
    </row>
    <row r="50" spans="1:9" ht="12.75" thickTop="1">
      <c r="A50" s="19" t="s">
        <v>178</v>
      </c>
      <c r="H50" s="17"/>
      <c r="I50" s="17"/>
    </row>
    <row r="51" ht="12">
      <c r="A51" t="s">
        <v>45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19" sqref="B19"/>
    </sheetView>
  </sheetViews>
  <sheetFormatPr defaultColWidth="11.421875" defaultRowHeight="12.75"/>
  <sheetData>
    <row r="1" ht="12">
      <c r="A1" t="s">
        <v>176</v>
      </c>
    </row>
    <row r="2" ht="12">
      <c r="A2" t="s">
        <v>165</v>
      </c>
    </row>
    <row r="3" ht="12">
      <c r="A3" t="s">
        <v>175</v>
      </c>
    </row>
    <row r="4" ht="12">
      <c r="A4" t="s">
        <v>166</v>
      </c>
    </row>
    <row r="5" ht="12">
      <c r="A5" t="s">
        <v>167</v>
      </c>
    </row>
    <row r="6" ht="12">
      <c r="A6" t="s">
        <v>168</v>
      </c>
    </row>
    <row r="7" ht="12">
      <c r="A7" t="s">
        <v>169</v>
      </c>
    </row>
    <row r="8" ht="12">
      <c r="A8" t="s">
        <v>170</v>
      </c>
    </row>
    <row r="9" ht="12">
      <c r="A9" t="s">
        <v>171</v>
      </c>
    </row>
    <row r="11" ht="12">
      <c r="A11" t="s">
        <v>172</v>
      </c>
    </row>
    <row r="12" ht="12">
      <c r="A12" t="s">
        <v>173</v>
      </c>
    </row>
    <row r="13" ht="12">
      <c r="A13" t="s">
        <v>174</v>
      </c>
    </row>
  </sheetData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:G4"/>
    </sheetView>
  </sheetViews>
  <sheetFormatPr defaultColWidth="11.421875" defaultRowHeight="12.75"/>
  <sheetData>
    <row r="1" ht="12">
      <c r="A1" s="1" t="s">
        <v>161</v>
      </c>
    </row>
    <row r="2" ht="12">
      <c r="A2" s="19" t="s">
        <v>160</v>
      </c>
    </row>
    <row r="3" ht="12">
      <c r="A3" s="19" t="s">
        <v>179</v>
      </c>
    </row>
    <row r="4" spans="1:6" ht="12">
      <c r="A4" s="18" t="s">
        <v>48</v>
      </c>
      <c r="B4" s="18" t="s">
        <v>49</v>
      </c>
      <c r="C4" s="18"/>
      <c r="D4" s="18"/>
      <c r="E4" s="18"/>
      <c r="F4" s="18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F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104</v>
      </c>
    </row>
    <row r="4" ht="12">
      <c r="A4" s="1" t="s">
        <v>163</v>
      </c>
    </row>
    <row r="5" spans="1:3" ht="12">
      <c r="A5" t="s">
        <v>125</v>
      </c>
      <c r="C5" s="1" t="s">
        <v>119</v>
      </c>
    </row>
    <row r="6" spans="1:7" s="1" customFormat="1" ht="12">
      <c r="A6" t="s">
        <v>126</v>
      </c>
      <c r="B6"/>
      <c r="C6" s="18" t="s">
        <v>120</v>
      </c>
      <c r="D6"/>
      <c r="E6"/>
      <c r="F6"/>
      <c r="G6"/>
    </row>
    <row r="7" spans="1:3" ht="12">
      <c r="A7" t="s">
        <v>127</v>
      </c>
      <c r="C7" t="s">
        <v>113</v>
      </c>
    </row>
    <row r="8" spans="1:3" ht="12">
      <c r="A8" t="s">
        <v>162</v>
      </c>
      <c r="C8" t="s">
        <v>114</v>
      </c>
    </row>
    <row r="9" spans="1:7" ht="12">
      <c r="A9" s="1" t="s">
        <v>128</v>
      </c>
      <c r="B9" s="1"/>
      <c r="C9" s="1"/>
      <c r="D9" s="1"/>
      <c r="E9" s="1"/>
      <c r="F9" s="1"/>
      <c r="G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2" t="s">
        <v>121</v>
      </c>
      <c r="B11" s="9" t="s">
        <v>129</v>
      </c>
      <c r="C11" s="7">
        <v>100</v>
      </c>
      <c r="D11" s="3" t="s">
        <v>26</v>
      </c>
    </row>
    <row r="12" spans="1:4" ht="12.75" thickBot="1">
      <c r="A12" s="2" t="s">
        <v>177</v>
      </c>
      <c r="B12" s="9" t="s">
        <v>129</v>
      </c>
      <c r="C12" s="7">
        <v>100</v>
      </c>
      <c r="D12" s="3" t="s">
        <v>26</v>
      </c>
    </row>
    <row r="13" spans="1:5" ht="12.75" thickTop="1">
      <c r="A13" s="36" t="s">
        <v>37</v>
      </c>
      <c r="B13" s="37"/>
      <c r="C13" s="38">
        <v>160</v>
      </c>
      <c r="E13" s="5" t="s">
        <v>39</v>
      </c>
    </row>
    <row r="14" spans="1:5" ht="12">
      <c r="A14" s="39" t="s">
        <v>38</v>
      </c>
      <c r="B14" s="20"/>
      <c r="C14" s="40">
        <v>56</v>
      </c>
      <c r="E14" s="6" t="s">
        <v>40</v>
      </c>
    </row>
    <row r="15" spans="1:5" ht="12">
      <c r="A15" s="39" t="s">
        <v>134</v>
      </c>
      <c r="B15" s="20"/>
      <c r="C15" s="41">
        <f>0.20274*POWER(C13/100,0.725)*POWER(C14,0.425)</f>
        <v>1.5772710824040208</v>
      </c>
      <c r="E15" s="18" t="s">
        <v>72</v>
      </c>
    </row>
    <row r="16" spans="1:5" ht="12.75" thickBot="1">
      <c r="A16" s="42" t="s">
        <v>135</v>
      </c>
      <c r="B16" s="43"/>
      <c r="C16" s="44">
        <v>100</v>
      </c>
      <c r="E16" s="5" t="s">
        <v>41</v>
      </c>
    </row>
    <row r="17" ht="12.75" thickTop="1">
      <c r="A17" s="1" t="s">
        <v>136</v>
      </c>
    </row>
    <row r="18" spans="1:6" ht="12">
      <c r="A18" t="s">
        <v>130</v>
      </c>
      <c r="B18" s="3" t="s">
        <v>137</v>
      </c>
      <c r="C18" s="3" t="s">
        <v>138</v>
      </c>
      <c r="D18" s="15" t="s">
        <v>139</v>
      </c>
      <c r="E18" s="3" t="s">
        <v>22</v>
      </c>
      <c r="F18" s="3" t="s">
        <v>23</v>
      </c>
    </row>
    <row r="19" spans="1:6" ht="12">
      <c r="A19" t="str">
        <f>+$A$11</f>
        <v>Bendamustina</v>
      </c>
      <c r="B19" s="7">
        <v>90</v>
      </c>
      <c r="C19" s="4">
        <f>+B19*$C$15</f>
        <v>141.95439741636187</v>
      </c>
      <c r="D19" s="4">
        <f>+C19*$C$16/100</f>
        <v>141.95439741636187</v>
      </c>
      <c r="E19" s="8">
        <f>+D19/C11</f>
        <v>1.4195439741636187</v>
      </c>
      <c r="F19" s="4">
        <f>IF(INT(E19)=E19,E19,INT(E19)+1)*2</f>
        <v>4</v>
      </c>
    </row>
    <row r="20" spans="1:6" ht="12.75" thickBot="1">
      <c r="A20" t="str">
        <f>+A12</f>
        <v>Rituximab</v>
      </c>
      <c r="B20" s="7">
        <v>375</v>
      </c>
      <c r="C20" s="4">
        <f>+B20*$C$15</f>
        <v>591.4766559015078</v>
      </c>
      <c r="D20" s="4">
        <f>+C20*$C$16/100</f>
        <v>591.4766559015078</v>
      </c>
      <c r="E20" s="8">
        <f>+D20/C12</f>
        <v>5.914766559015078</v>
      </c>
      <c r="F20" s="4">
        <f>IF(INT(E20)=E20,E20,INT(E20)+1)</f>
        <v>6</v>
      </c>
    </row>
    <row r="21" spans="1:5" ht="12.75" thickTop="1">
      <c r="A21" s="21" t="s">
        <v>24</v>
      </c>
      <c r="B21" s="22"/>
      <c r="C21" s="23"/>
      <c r="D21" s="23"/>
      <c r="E21" s="24"/>
    </row>
    <row r="22" spans="1:5" ht="12">
      <c r="A22" s="25" t="s">
        <v>130</v>
      </c>
      <c r="B22" s="11" t="s">
        <v>131</v>
      </c>
      <c r="C22" s="11" t="s">
        <v>29</v>
      </c>
      <c r="D22" s="11" t="s">
        <v>30</v>
      </c>
      <c r="E22" s="27" t="s">
        <v>25</v>
      </c>
    </row>
    <row r="23" spans="1:5" ht="12">
      <c r="A23" s="25" t="str">
        <f>+$A$11</f>
        <v>Bendamustina</v>
      </c>
      <c r="B23" s="11" t="str">
        <f aca="true" t="shared" si="0" ref="B23:D24">+B11</f>
        <v>Amp</v>
      </c>
      <c r="C23" s="11">
        <f t="shared" si="0"/>
        <v>100</v>
      </c>
      <c r="D23" s="11" t="str">
        <f t="shared" si="0"/>
        <v>mg</v>
      </c>
      <c r="E23" s="27">
        <f>+F19</f>
        <v>4</v>
      </c>
    </row>
    <row r="24" spans="1:5" ht="12">
      <c r="A24" s="25" t="str">
        <f>+A12</f>
        <v>Rituximab</v>
      </c>
      <c r="B24" s="11" t="str">
        <f t="shared" si="0"/>
        <v>Amp</v>
      </c>
      <c r="C24" s="11">
        <f t="shared" si="0"/>
        <v>100</v>
      </c>
      <c r="D24" s="11" t="str">
        <f t="shared" si="0"/>
        <v>mg</v>
      </c>
      <c r="E24" s="28">
        <f>+F20</f>
        <v>6</v>
      </c>
    </row>
    <row r="25" spans="1:5" ht="12">
      <c r="A25" s="25" t="s">
        <v>99</v>
      </c>
      <c r="B25" s="11" t="s">
        <v>44</v>
      </c>
      <c r="C25" s="11">
        <v>500</v>
      </c>
      <c r="D25" s="11" t="s">
        <v>26</v>
      </c>
      <c r="E25" s="28">
        <v>2</v>
      </c>
    </row>
    <row r="26" spans="1:5" ht="12">
      <c r="A26" s="25" t="s">
        <v>100</v>
      </c>
      <c r="B26" s="11" t="s">
        <v>129</v>
      </c>
      <c r="C26" s="11">
        <v>100</v>
      </c>
      <c r="D26" s="11" t="s">
        <v>26</v>
      </c>
      <c r="E26" s="28">
        <v>1</v>
      </c>
    </row>
    <row r="27" spans="1:7" ht="12">
      <c r="A27" s="25" t="s">
        <v>35</v>
      </c>
      <c r="B27" s="11" t="s">
        <v>129</v>
      </c>
      <c r="C27" s="11">
        <v>4</v>
      </c>
      <c r="D27" s="11" t="s">
        <v>26</v>
      </c>
      <c r="E27" s="27">
        <v>10</v>
      </c>
      <c r="G27" s="17"/>
    </row>
    <row r="28" spans="1:7" ht="12.75" thickBot="1">
      <c r="A28" s="29" t="s">
        <v>36</v>
      </c>
      <c r="B28" s="30" t="s">
        <v>129</v>
      </c>
      <c r="C28" s="30">
        <v>8</v>
      </c>
      <c r="D28" s="30" t="s">
        <v>26</v>
      </c>
      <c r="E28" s="55">
        <v>2</v>
      </c>
      <c r="G28" s="17"/>
    </row>
    <row r="29" spans="1:7" ht="13.5" thickBot="1" thickTop="1">
      <c r="A29" s="56"/>
      <c r="B29" s="57"/>
      <c r="C29" s="57"/>
      <c r="D29" s="57"/>
      <c r="E29" s="57"/>
      <c r="F29" s="56"/>
      <c r="G29" s="17"/>
    </row>
    <row r="30" spans="1:7" ht="12.75" thickTop="1">
      <c r="A30" s="21" t="s">
        <v>31</v>
      </c>
      <c r="B30" s="23"/>
      <c r="C30" s="23"/>
      <c r="D30" s="23"/>
      <c r="E30" s="23"/>
      <c r="F30" s="24"/>
      <c r="G30" s="17"/>
    </row>
    <row r="31" spans="1:6" ht="12">
      <c r="A31" s="31" t="s">
        <v>32</v>
      </c>
      <c r="B31" s="14" t="s">
        <v>164</v>
      </c>
      <c r="C31" s="14" t="s">
        <v>30</v>
      </c>
      <c r="D31" s="13" t="s">
        <v>126</v>
      </c>
      <c r="E31" s="10"/>
      <c r="F31" s="26"/>
    </row>
    <row r="32" spans="1:6" ht="12">
      <c r="A32" s="25" t="s">
        <v>33</v>
      </c>
      <c r="B32" s="11">
        <v>8</v>
      </c>
      <c r="C32" s="11" t="s">
        <v>26</v>
      </c>
      <c r="D32" s="16" t="s">
        <v>123</v>
      </c>
      <c r="E32" s="16"/>
      <c r="F32" s="26"/>
    </row>
    <row r="33" spans="1:6" ht="12">
      <c r="A33" s="25" t="s">
        <v>35</v>
      </c>
      <c r="B33" s="11">
        <v>20</v>
      </c>
      <c r="C33" s="11" t="s">
        <v>26</v>
      </c>
      <c r="D33" s="16" t="s">
        <v>122</v>
      </c>
      <c r="E33" s="16"/>
      <c r="F33" s="26"/>
    </row>
    <row r="34" spans="1:6" ht="12">
      <c r="A34" s="25" t="str">
        <f>+A25</f>
        <v>Acetaminofen</v>
      </c>
      <c r="B34" s="11">
        <v>1000</v>
      </c>
      <c r="C34" s="11" t="str">
        <f>+D25</f>
        <v>mg</v>
      </c>
      <c r="D34" s="16" t="s">
        <v>102</v>
      </c>
      <c r="E34" s="16"/>
      <c r="F34" s="26"/>
    </row>
    <row r="35" spans="1:6" ht="12">
      <c r="A35" s="25" t="str">
        <f>+A26</f>
        <v>Difenhidramina</v>
      </c>
      <c r="B35" s="11">
        <v>50</v>
      </c>
      <c r="C35" s="11" t="str">
        <f>+D26</f>
        <v>mg</v>
      </c>
      <c r="D35" s="16" t="s">
        <v>103</v>
      </c>
      <c r="E35" s="16"/>
      <c r="F35" s="26"/>
    </row>
    <row r="36" spans="1:6" ht="12">
      <c r="A36" s="31" t="s">
        <v>98</v>
      </c>
      <c r="B36" s="11"/>
      <c r="C36" s="11"/>
      <c r="D36" s="16"/>
      <c r="E36" s="16"/>
      <c r="F36" s="26"/>
    </row>
    <row r="37" spans="1:6" ht="12">
      <c r="A37" s="25" t="str">
        <f>+$A$11</f>
        <v>Bendamustina</v>
      </c>
      <c r="B37" s="12">
        <f>+$D$19</f>
        <v>141.95439741636187</v>
      </c>
      <c r="C37" s="11" t="s">
        <v>26</v>
      </c>
      <c r="D37" s="16" t="s">
        <v>124</v>
      </c>
      <c r="E37" s="16"/>
      <c r="F37" s="26"/>
    </row>
    <row r="38" spans="1:6" ht="12.75" thickBot="1">
      <c r="A38" s="29" t="str">
        <f>+A12</f>
        <v>Rituximab</v>
      </c>
      <c r="B38" s="33">
        <f>+D20</f>
        <v>591.4766559015078</v>
      </c>
      <c r="C38" s="30" t="str">
        <f>+D12</f>
        <v>mg</v>
      </c>
      <c r="D38" s="34" t="s">
        <v>101</v>
      </c>
      <c r="E38" s="34"/>
      <c r="F38" s="35"/>
    </row>
    <row r="39" spans="1:7" ht="12.75" thickTop="1">
      <c r="A39" s="19" t="s">
        <v>178</v>
      </c>
      <c r="G39" s="17"/>
    </row>
    <row r="40" spans="1:7" ht="12">
      <c r="A40" s="19" t="s">
        <v>71</v>
      </c>
      <c r="G40" s="17"/>
    </row>
    <row r="41" spans="1:7" ht="12">
      <c r="A41" s="18" t="s">
        <v>48</v>
      </c>
      <c r="B41" s="18" t="s">
        <v>49</v>
      </c>
      <c r="G41" s="17"/>
    </row>
    <row r="42" ht="12">
      <c r="A42" t="s">
        <v>45</v>
      </c>
    </row>
    <row r="45" ht="12">
      <c r="A45" s="19"/>
    </row>
    <row r="46" spans="3:6" ht="12">
      <c r="C46" s="18"/>
      <c r="D46" s="18"/>
      <c r="E46" s="18"/>
      <c r="F46" s="1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F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83</v>
      </c>
    </row>
    <row r="4" ht="12">
      <c r="A4" s="1" t="s">
        <v>163</v>
      </c>
    </row>
    <row r="5" spans="1:3" ht="12">
      <c r="A5" t="s">
        <v>125</v>
      </c>
      <c r="C5" s="1" t="s">
        <v>14</v>
      </c>
    </row>
    <row r="6" spans="1:7" s="1" customFormat="1" ht="12">
      <c r="A6" t="s">
        <v>126</v>
      </c>
      <c r="B6"/>
      <c r="C6" s="18" t="s">
        <v>60</v>
      </c>
      <c r="D6"/>
      <c r="E6"/>
      <c r="F6"/>
      <c r="G6"/>
    </row>
    <row r="7" spans="1:3" ht="12">
      <c r="A7" t="s">
        <v>127</v>
      </c>
      <c r="C7" t="s">
        <v>15</v>
      </c>
    </row>
    <row r="8" spans="1:3" ht="12">
      <c r="A8" t="s">
        <v>162</v>
      </c>
      <c r="C8" t="s">
        <v>16</v>
      </c>
    </row>
    <row r="9" spans="1:7" ht="12">
      <c r="A9" s="1" t="s">
        <v>128</v>
      </c>
      <c r="B9" s="1"/>
      <c r="C9" s="1"/>
      <c r="D9" s="1"/>
      <c r="E9" s="1"/>
      <c r="F9" s="1"/>
      <c r="G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t="s">
        <v>17</v>
      </c>
      <c r="B11" s="3" t="s">
        <v>19</v>
      </c>
      <c r="C11" s="7">
        <v>500</v>
      </c>
      <c r="D11" s="3" t="s">
        <v>20</v>
      </c>
    </row>
    <row r="12" spans="1:4" ht="12">
      <c r="A12" s="2" t="s">
        <v>18</v>
      </c>
      <c r="B12" s="9" t="s">
        <v>129</v>
      </c>
      <c r="C12" s="7">
        <v>50</v>
      </c>
      <c r="D12" s="3" t="s">
        <v>26</v>
      </c>
    </row>
    <row r="13" spans="1:4" ht="12">
      <c r="A13" s="2" t="s">
        <v>177</v>
      </c>
      <c r="B13" s="9" t="s">
        <v>129</v>
      </c>
      <c r="C13" s="7">
        <v>100</v>
      </c>
      <c r="D13" s="3" t="s">
        <v>26</v>
      </c>
    </row>
    <row r="14" spans="1:5" ht="12">
      <c r="A14" s="59" t="s">
        <v>37</v>
      </c>
      <c r="B14" s="60"/>
      <c r="C14" s="61">
        <v>160</v>
      </c>
      <c r="E14" s="67" t="s">
        <v>76</v>
      </c>
    </row>
    <row r="15" spans="1:5" ht="12">
      <c r="A15" s="59" t="s">
        <v>38</v>
      </c>
      <c r="B15" s="60"/>
      <c r="C15" s="61">
        <v>56</v>
      </c>
      <c r="E15" s="68" t="s">
        <v>77</v>
      </c>
    </row>
    <row r="16" spans="1:5" ht="12">
      <c r="A16" s="59" t="s">
        <v>134</v>
      </c>
      <c r="B16" s="60"/>
      <c r="C16" s="62">
        <f>0.20274*POWER(C14/100,0.725)*POWER(C15,0.425)</f>
        <v>1.5772710824040208</v>
      </c>
      <c r="E16" s="67" t="s">
        <v>74</v>
      </c>
    </row>
    <row r="17" spans="1:5" ht="12">
      <c r="A17" s="59" t="s">
        <v>135</v>
      </c>
      <c r="B17" s="60"/>
      <c r="C17" s="61">
        <v>100</v>
      </c>
      <c r="E17" s="67" t="s">
        <v>78</v>
      </c>
    </row>
    <row r="18" spans="1:5" ht="12">
      <c r="A18" s="59" t="s">
        <v>21</v>
      </c>
      <c r="B18" s="60"/>
      <c r="C18" s="61">
        <v>2</v>
      </c>
      <c r="E18" s="67" t="s">
        <v>75</v>
      </c>
    </row>
    <row r="19" ht="12">
      <c r="A19" s="1" t="s">
        <v>136</v>
      </c>
    </row>
    <row r="20" spans="1:6" ht="12">
      <c r="A20" t="s">
        <v>130</v>
      </c>
      <c r="B20" s="3" t="s">
        <v>137</v>
      </c>
      <c r="C20" s="3" t="s">
        <v>138</v>
      </c>
      <c r="D20" s="15" t="s">
        <v>139</v>
      </c>
      <c r="E20" s="3" t="s">
        <v>22</v>
      </c>
      <c r="F20" s="3" t="s">
        <v>23</v>
      </c>
    </row>
    <row r="21" spans="1:6" ht="12">
      <c r="A21" t="str">
        <f>+A11</f>
        <v>Ciclofosfamida</v>
      </c>
      <c r="B21" s="7">
        <v>250</v>
      </c>
      <c r="C21" s="4">
        <f>+B21*$C$16</f>
        <v>394.3177706010052</v>
      </c>
      <c r="D21" s="4">
        <f>+C21*$C$17/100</f>
        <v>394.3177706010052</v>
      </c>
      <c r="E21" s="8">
        <f>+D21/C11</f>
        <v>0.7886355412020104</v>
      </c>
      <c r="F21" s="4">
        <f>IF(INT(E21)=E21,E21,INT(E21)+1)*3</f>
        <v>3</v>
      </c>
    </row>
    <row r="22" spans="1:6" ht="12">
      <c r="A22" t="str">
        <f>+$A$12</f>
        <v>Fludarabina</v>
      </c>
      <c r="B22" s="7">
        <v>25</v>
      </c>
      <c r="C22" s="4">
        <f>+B22*$C$16</f>
        <v>39.43177706010052</v>
      </c>
      <c r="D22" s="4">
        <f>+C22*$C$17/100</f>
        <v>39.43177706010052</v>
      </c>
      <c r="E22" s="8">
        <f>+D22/C12</f>
        <v>0.7886355412020104</v>
      </c>
      <c r="F22" s="4">
        <f>IF(INT(E22)=E22,E22,INT(E22)+1)*3</f>
        <v>3</v>
      </c>
    </row>
    <row r="23" spans="1:6" ht="12.75" thickBot="1">
      <c r="A23" t="str">
        <f>+A13</f>
        <v>Rituximab</v>
      </c>
      <c r="B23" s="7">
        <f>+IF(C18=1,375,500)</f>
        <v>500</v>
      </c>
      <c r="C23" s="4">
        <f>+B23*$C$16</f>
        <v>788.6355412020104</v>
      </c>
      <c r="D23" s="4">
        <f>+C23*$C$17/100</f>
        <v>788.6355412020104</v>
      </c>
      <c r="E23" s="8">
        <f>+D23/C13</f>
        <v>7.886355412020103</v>
      </c>
      <c r="F23" s="4">
        <f>IF(INT(E23)=E23,E23,INT(E23)+1)</f>
        <v>8</v>
      </c>
    </row>
    <row r="24" spans="1:5" ht="12.75" thickTop="1">
      <c r="A24" s="21" t="s">
        <v>24</v>
      </c>
      <c r="B24" s="22"/>
      <c r="C24" s="23"/>
      <c r="D24" s="23"/>
      <c r="E24" s="24"/>
    </row>
    <row r="25" spans="1:5" ht="12">
      <c r="A25" s="25" t="s">
        <v>130</v>
      </c>
      <c r="B25" s="11" t="s">
        <v>131</v>
      </c>
      <c r="C25" s="11" t="s">
        <v>29</v>
      </c>
      <c r="D25" s="11" t="s">
        <v>30</v>
      </c>
      <c r="E25" s="27" t="s">
        <v>25</v>
      </c>
    </row>
    <row r="26" spans="1:5" ht="12">
      <c r="A26" s="25" t="str">
        <f>+A11</f>
        <v>Ciclofosfamida</v>
      </c>
      <c r="B26" s="11" t="str">
        <f>+B11</f>
        <v>Amp</v>
      </c>
      <c r="C26" s="11">
        <f>+C11</f>
        <v>500</v>
      </c>
      <c r="D26" s="11" t="str">
        <f>+D11</f>
        <v>mg</v>
      </c>
      <c r="E26" s="28">
        <f>+F21</f>
        <v>3</v>
      </c>
    </row>
    <row r="27" spans="1:5" ht="12">
      <c r="A27" s="25" t="str">
        <f>+$A$12</f>
        <v>Fludarabina</v>
      </c>
      <c r="B27" s="11" t="str">
        <f aca="true" t="shared" si="0" ref="B27:D28">+B12</f>
        <v>Amp</v>
      </c>
      <c r="C27" s="11">
        <f t="shared" si="0"/>
        <v>50</v>
      </c>
      <c r="D27" s="11" t="str">
        <f t="shared" si="0"/>
        <v>mg</v>
      </c>
      <c r="E27" s="27">
        <f>+F22</f>
        <v>3</v>
      </c>
    </row>
    <row r="28" spans="1:5" ht="12">
      <c r="A28" s="25" t="str">
        <f>+A13</f>
        <v>Rituximab</v>
      </c>
      <c r="B28" s="11" t="str">
        <f t="shared" si="0"/>
        <v>Amp</v>
      </c>
      <c r="C28" s="11">
        <f t="shared" si="0"/>
        <v>100</v>
      </c>
      <c r="D28" s="11" t="str">
        <f t="shared" si="0"/>
        <v>mg</v>
      </c>
      <c r="E28" s="28">
        <f>+F23</f>
        <v>8</v>
      </c>
    </row>
    <row r="29" spans="1:5" ht="12">
      <c r="A29" s="25" t="s">
        <v>99</v>
      </c>
      <c r="B29" s="11" t="s">
        <v>44</v>
      </c>
      <c r="C29" s="11">
        <v>500</v>
      </c>
      <c r="D29" s="11" t="s">
        <v>26</v>
      </c>
      <c r="E29" s="28">
        <v>2</v>
      </c>
    </row>
    <row r="30" spans="1:5" ht="12">
      <c r="A30" s="25" t="s">
        <v>100</v>
      </c>
      <c r="B30" s="11" t="s">
        <v>129</v>
      </c>
      <c r="C30" s="11">
        <v>100</v>
      </c>
      <c r="D30" s="11" t="s">
        <v>26</v>
      </c>
      <c r="E30" s="28">
        <v>1</v>
      </c>
    </row>
    <row r="31" spans="1:7" ht="12">
      <c r="A31" s="25" t="s">
        <v>35</v>
      </c>
      <c r="B31" s="11" t="s">
        <v>129</v>
      </c>
      <c r="C31" s="11">
        <v>4</v>
      </c>
      <c r="D31" s="11" t="s">
        <v>26</v>
      </c>
      <c r="E31" s="27">
        <v>10</v>
      </c>
      <c r="G31" s="17"/>
    </row>
    <row r="32" spans="1:7" ht="12.75" thickBot="1">
      <c r="A32" s="29" t="s">
        <v>36</v>
      </c>
      <c r="B32" s="30" t="s">
        <v>129</v>
      </c>
      <c r="C32" s="30">
        <v>8</v>
      </c>
      <c r="D32" s="30" t="s">
        <v>26</v>
      </c>
      <c r="E32" s="55">
        <v>2</v>
      </c>
      <c r="G32" s="17"/>
    </row>
    <row r="33" spans="1:7" ht="13.5" thickBot="1" thickTop="1">
      <c r="A33" s="56"/>
      <c r="B33" s="57"/>
      <c r="C33" s="57"/>
      <c r="D33" s="57"/>
      <c r="E33" s="57"/>
      <c r="F33" s="56"/>
      <c r="G33" s="17"/>
    </row>
    <row r="34" spans="1:7" ht="12.75" thickTop="1">
      <c r="A34" s="21" t="s">
        <v>31</v>
      </c>
      <c r="B34" s="23"/>
      <c r="C34" s="23"/>
      <c r="D34" s="23"/>
      <c r="E34" s="23"/>
      <c r="F34" s="24"/>
      <c r="G34" s="17"/>
    </row>
    <row r="35" spans="1:6" ht="12">
      <c r="A35" s="31" t="s">
        <v>32</v>
      </c>
      <c r="B35" s="14" t="s">
        <v>164</v>
      </c>
      <c r="C35" s="14" t="s">
        <v>30</v>
      </c>
      <c r="D35" s="13" t="s">
        <v>126</v>
      </c>
      <c r="E35" s="10"/>
      <c r="F35" s="26"/>
    </row>
    <row r="36" spans="1:6" ht="12">
      <c r="A36" s="25" t="s">
        <v>33</v>
      </c>
      <c r="B36" s="11">
        <v>8</v>
      </c>
      <c r="C36" s="11" t="s">
        <v>26</v>
      </c>
      <c r="D36" s="16" t="s">
        <v>123</v>
      </c>
      <c r="E36" s="16"/>
      <c r="F36" s="26"/>
    </row>
    <row r="37" spans="1:6" ht="12">
      <c r="A37" s="25" t="s">
        <v>35</v>
      </c>
      <c r="B37" s="11">
        <v>20</v>
      </c>
      <c r="C37" s="11" t="s">
        <v>26</v>
      </c>
      <c r="D37" s="16" t="s">
        <v>122</v>
      </c>
      <c r="E37" s="16"/>
      <c r="F37" s="26"/>
    </row>
    <row r="38" spans="1:6" ht="12">
      <c r="A38" s="25" t="str">
        <f>+A29</f>
        <v>Acetaminofen</v>
      </c>
      <c r="B38" s="11">
        <v>1000</v>
      </c>
      <c r="C38" s="11" t="str">
        <f>+D29</f>
        <v>mg</v>
      </c>
      <c r="D38" s="16" t="s">
        <v>102</v>
      </c>
      <c r="E38" s="16"/>
      <c r="F38" s="26"/>
    </row>
    <row r="39" spans="1:6" ht="12">
      <c r="A39" s="25" t="str">
        <f>+A30</f>
        <v>Difenhidramina</v>
      </c>
      <c r="B39" s="11">
        <v>50</v>
      </c>
      <c r="C39" s="11" t="str">
        <f>+D30</f>
        <v>mg</v>
      </c>
      <c r="D39" s="16" t="s">
        <v>103</v>
      </c>
      <c r="E39" s="16"/>
      <c r="F39" s="26"/>
    </row>
    <row r="40" spans="1:6" ht="12">
      <c r="A40" s="31" t="s">
        <v>98</v>
      </c>
      <c r="B40" s="11"/>
      <c r="C40" s="11"/>
      <c r="D40" s="16"/>
      <c r="E40" s="16"/>
      <c r="F40" s="26"/>
    </row>
    <row r="41" spans="1:6" ht="12">
      <c r="A41" s="25" t="str">
        <f>+A28</f>
        <v>Rituximab</v>
      </c>
      <c r="B41" s="12">
        <f>+D23</f>
        <v>788.6355412020104</v>
      </c>
      <c r="C41" s="11" t="str">
        <f>+D13</f>
        <v>mg</v>
      </c>
      <c r="D41" s="16" t="s">
        <v>97</v>
      </c>
      <c r="E41" s="16"/>
      <c r="F41" s="26"/>
    </row>
    <row r="42" spans="1:6" ht="12">
      <c r="A42" s="25" t="str">
        <f>+A12</f>
        <v>Fludarabina</v>
      </c>
      <c r="B42" s="12">
        <f>+D22</f>
        <v>39.43177706010052</v>
      </c>
      <c r="C42" s="11" t="str">
        <f>+D12</f>
        <v>mg</v>
      </c>
      <c r="D42" s="16" t="s">
        <v>56</v>
      </c>
      <c r="E42" s="16"/>
      <c r="F42" s="26"/>
    </row>
    <row r="43" spans="1:6" ht="12.75" thickBot="1">
      <c r="A43" s="29" t="str">
        <f>+A11</f>
        <v>Ciclofosfamida</v>
      </c>
      <c r="B43" s="33">
        <f>+D21</f>
        <v>394.3177706010052</v>
      </c>
      <c r="C43" s="30" t="str">
        <f>+D11</f>
        <v>mg</v>
      </c>
      <c r="D43" s="34" t="s">
        <v>57</v>
      </c>
      <c r="E43" s="34"/>
      <c r="F43" s="35"/>
    </row>
    <row r="44" spans="1:7" ht="12.75" thickTop="1">
      <c r="A44" s="66" t="s">
        <v>178</v>
      </c>
      <c r="G44" s="17"/>
    </row>
    <row r="45" spans="1:7" ht="12">
      <c r="A45" s="66" t="s">
        <v>184</v>
      </c>
      <c r="G45" s="17"/>
    </row>
    <row r="46" spans="1:7" ht="12">
      <c r="A46" s="66" t="s">
        <v>183</v>
      </c>
      <c r="G46" s="17"/>
    </row>
    <row r="47" spans="1:7" ht="12">
      <c r="A47" s="18" t="s">
        <v>48</v>
      </c>
      <c r="B47" s="18" t="s">
        <v>49</v>
      </c>
      <c r="G47" s="17"/>
    </row>
    <row r="48" ht="12">
      <c r="A48" t="s">
        <v>45</v>
      </c>
    </row>
    <row r="51" ht="12">
      <c r="A51" s="19"/>
    </row>
    <row r="52" spans="3:6" ht="12">
      <c r="C52" s="18"/>
      <c r="D52" s="18"/>
      <c r="E52" s="18"/>
      <c r="F52" s="1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F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83</v>
      </c>
    </row>
    <row r="4" ht="12">
      <c r="A4" s="1" t="s">
        <v>163</v>
      </c>
    </row>
    <row r="5" spans="1:3" ht="12">
      <c r="A5" t="s">
        <v>125</v>
      </c>
      <c r="C5" s="1" t="s">
        <v>59</v>
      </c>
    </row>
    <row r="6" spans="1:7" s="1" customFormat="1" ht="12">
      <c r="A6" t="s">
        <v>126</v>
      </c>
      <c r="B6"/>
      <c r="C6" s="18" t="s">
        <v>60</v>
      </c>
      <c r="D6"/>
      <c r="E6"/>
      <c r="F6"/>
      <c r="G6"/>
    </row>
    <row r="7" spans="1:3" ht="12">
      <c r="A7" t="s">
        <v>127</v>
      </c>
      <c r="C7" t="s">
        <v>15</v>
      </c>
    </row>
    <row r="8" spans="1:3" ht="12">
      <c r="A8" t="s">
        <v>162</v>
      </c>
      <c r="C8" t="s">
        <v>16</v>
      </c>
    </row>
    <row r="9" spans="1:7" ht="12">
      <c r="A9" s="1" t="s">
        <v>128</v>
      </c>
      <c r="B9" s="1"/>
      <c r="C9" s="1"/>
      <c r="D9" s="1"/>
      <c r="E9" s="1"/>
      <c r="F9" s="1"/>
      <c r="G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t="s">
        <v>17</v>
      </c>
      <c r="B11" s="3" t="s">
        <v>19</v>
      </c>
      <c r="C11" s="7">
        <v>500</v>
      </c>
      <c r="D11" s="3" t="s">
        <v>20</v>
      </c>
    </row>
    <row r="12" spans="1:4" ht="12">
      <c r="A12" s="2" t="s">
        <v>18</v>
      </c>
      <c r="B12" s="9" t="s">
        <v>129</v>
      </c>
      <c r="C12" s="7">
        <v>50</v>
      </c>
      <c r="D12" s="3" t="s">
        <v>26</v>
      </c>
    </row>
    <row r="13" spans="1:5" ht="12">
      <c r="A13" s="59" t="s">
        <v>37</v>
      </c>
      <c r="B13" s="60"/>
      <c r="C13" s="61">
        <v>160</v>
      </c>
      <c r="E13" s="63" t="s">
        <v>39</v>
      </c>
    </row>
    <row r="14" spans="1:5" ht="12">
      <c r="A14" s="59" t="s">
        <v>38</v>
      </c>
      <c r="B14" s="60"/>
      <c r="C14" s="61">
        <v>56</v>
      </c>
      <c r="E14" s="6" t="s">
        <v>40</v>
      </c>
    </row>
    <row r="15" spans="1:5" ht="12">
      <c r="A15" s="59" t="s">
        <v>134</v>
      </c>
      <c r="B15" s="60"/>
      <c r="C15" s="62">
        <f>0.20274*POWER(C13/100,0.725)*POWER(C14,0.425)</f>
        <v>1.5772710824040208</v>
      </c>
      <c r="E15" s="64" t="s">
        <v>72</v>
      </c>
    </row>
    <row r="16" spans="1:5" ht="12">
      <c r="A16" s="59" t="s">
        <v>135</v>
      </c>
      <c r="B16" s="60"/>
      <c r="C16" s="61">
        <v>100</v>
      </c>
      <c r="E16" s="63" t="s">
        <v>41</v>
      </c>
    </row>
    <row r="17" ht="12">
      <c r="A17" s="1" t="s">
        <v>136</v>
      </c>
    </row>
    <row r="18" spans="1:6" ht="12">
      <c r="A18" t="s">
        <v>130</v>
      </c>
      <c r="B18" s="3" t="s">
        <v>137</v>
      </c>
      <c r="C18" s="3" t="s">
        <v>138</v>
      </c>
      <c r="D18" s="15" t="s">
        <v>139</v>
      </c>
      <c r="E18" s="3" t="s">
        <v>22</v>
      </c>
      <c r="F18" s="3" t="s">
        <v>23</v>
      </c>
    </row>
    <row r="19" spans="1:6" ht="12">
      <c r="A19" t="str">
        <f>+A11</f>
        <v>Ciclofosfamida</v>
      </c>
      <c r="B19" s="7">
        <v>250</v>
      </c>
      <c r="C19" s="4">
        <f>+B19*$C$15</f>
        <v>394.3177706010052</v>
      </c>
      <c r="D19" s="4">
        <f>+C19*$C$16/100</f>
        <v>394.3177706010052</v>
      </c>
      <c r="E19" s="8">
        <f>+D19/C11</f>
        <v>0.7886355412020104</v>
      </c>
      <c r="F19" s="4">
        <f>IF(INT(E19)=E19,E19,INT(E19)+1)*3</f>
        <v>3</v>
      </c>
    </row>
    <row r="20" spans="1:6" ht="12.75" thickBot="1">
      <c r="A20" t="str">
        <f>+$A$12</f>
        <v>Fludarabina</v>
      </c>
      <c r="B20" s="7">
        <v>25</v>
      </c>
      <c r="C20" s="4">
        <f>+B20*$C$15</f>
        <v>39.43177706010052</v>
      </c>
      <c r="D20" s="4">
        <f>+C20*$C$16/100</f>
        <v>39.43177706010052</v>
      </c>
      <c r="E20" s="8">
        <f>+D20/C12</f>
        <v>0.7886355412020104</v>
      </c>
      <c r="F20" s="4">
        <f>IF(INT(E20)=E20,E20,INT(E20)+1)*3</f>
        <v>3</v>
      </c>
    </row>
    <row r="21" spans="1:5" ht="12.75" thickTop="1">
      <c r="A21" s="21" t="s">
        <v>24</v>
      </c>
      <c r="B21" s="22"/>
      <c r="C21" s="23"/>
      <c r="D21" s="23"/>
      <c r="E21" s="24"/>
    </row>
    <row r="22" spans="1:5" ht="12">
      <c r="A22" s="25" t="s">
        <v>130</v>
      </c>
      <c r="B22" s="11" t="s">
        <v>131</v>
      </c>
      <c r="C22" s="11" t="s">
        <v>29</v>
      </c>
      <c r="D22" s="11" t="s">
        <v>30</v>
      </c>
      <c r="E22" s="27" t="s">
        <v>25</v>
      </c>
    </row>
    <row r="23" spans="1:5" ht="12">
      <c r="A23" s="25" t="str">
        <f>+A11</f>
        <v>Ciclofosfamida</v>
      </c>
      <c r="B23" s="11" t="str">
        <f>+B11</f>
        <v>Amp</v>
      </c>
      <c r="C23" s="11">
        <f>+C11</f>
        <v>500</v>
      </c>
      <c r="D23" s="11" t="str">
        <f>+D11</f>
        <v>mg</v>
      </c>
      <c r="E23" s="28">
        <f>+F19</f>
        <v>3</v>
      </c>
    </row>
    <row r="24" spans="1:5" ht="12">
      <c r="A24" s="25" t="str">
        <f>+$A$12</f>
        <v>Fludarabina</v>
      </c>
      <c r="B24" s="11" t="str">
        <f>+B12</f>
        <v>Amp</v>
      </c>
      <c r="C24" s="11">
        <f>+C12</f>
        <v>50</v>
      </c>
      <c r="D24" s="11" t="str">
        <f>+D12</f>
        <v>mg</v>
      </c>
      <c r="E24" s="27">
        <f>+F20</f>
        <v>3</v>
      </c>
    </row>
    <row r="25" spans="1:7" ht="12">
      <c r="A25" s="25" t="s">
        <v>35</v>
      </c>
      <c r="B25" s="11" t="s">
        <v>129</v>
      </c>
      <c r="C25" s="11">
        <v>4</v>
      </c>
      <c r="D25" s="11" t="s">
        <v>26</v>
      </c>
      <c r="E25" s="27">
        <v>6</v>
      </c>
      <c r="G25" s="17"/>
    </row>
    <row r="26" spans="1:7" ht="12.75" thickBot="1">
      <c r="A26" s="29" t="s">
        <v>36</v>
      </c>
      <c r="B26" s="30" t="s">
        <v>129</v>
      </c>
      <c r="C26" s="30">
        <v>8</v>
      </c>
      <c r="D26" s="30" t="s">
        <v>26</v>
      </c>
      <c r="E26" s="55">
        <v>3</v>
      </c>
      <c r="G26" s="17"/>
    </row>
    <row r="27" spans="1:7" ht="13.5" thickBot="1" thickTop="1">
      <c r="A27" s="56"/>
      <c r="B27" s="57"/>
      <c r="C27" s="57"/>
      <c r="D27" s="57"/>
      <c r="E27" s="57"/>
      <c r="F27" s="56"/>
      <c r="G27" s="17"/>
    </row>
    <row r="28" spans="1:7" ht="12.75" thickTop="1">
      <c r="A28" s="21" t="s">
        <v>31</v>
      </c>
      <c r="B28" s="23"/>
      <c r="C28" s="23"/>
      <c r="D28" s="23"/>
      <c r="E28" s="23"/>
      <c r="F28" s="24"/>
      <c r="G28" s="17"/>
    </row>
    <row r="29" spans="1:6" ht="12">
      <c r="A29" s="31" t="s">
        <v>32</v>
      </c>
      <c r="B29" s="14" t="s">
        <v>164</v>
      </c>
      <c r="C29" s="14" t="s">
        <v>30</v>
      </c>
      <c r="D29" s="13" t="s">
        <v>126</v>
      </c>
      <c r="E29" s="10"/>
      <c r="F29" s="26"/>
    </row>
    <row r="30" spans="1:6" ht="12">
      <c r="A30" s="25" t="s">
        <v>33</v>
      </c>
      <c r="B30" s="11">
        <v>8</v>
      </c>
      <c r="C30" s="11" t="s">
        <v>26</v>
      </c>
      <c r="D30" s="16" t="s">
        <v>68</v>
      </c>
      <c r="E30" s="16"/>
      <c r="F30" s="26"/>
    </row>
    <row r="31" spans="1:6" ht="12">
      <c r="A31" s="25" t="s">
        <v>35</v>
      </c>
      <c r="B31" s="11">
        <v>8</v>
      </c>
      <c r="C31" s="11" t="s">
        <v>26</v>
      </c>
      <c r="D31" s="16" t="s">
        <v>68</v>
      </c>
      <c r="E31" s="16"/>
      <c r="F31" s="26"/>
    </row>
    <row r="32" spans="1:6" ht="12">
      <c r="A32" s="31" t="s">
        <v>98</v>
      </c>
      <c r="B32" s="11"/>
      <c r="C32" s="11"/>
      <c r="D32" s="16"/>
      <c r="E32" s="16"/>
      <c r="F32" s="26"/>
    </row>
    <row r="33" spans="1:6" ht="12">
      <c r="A33" s="25" t="str">
        <f>+A12</f>
        <v>Fludarabina</v>
      </c>
      <c r="B33" s="12">
        <f>+D20</f>
        <v>39.43177706010052</v>
      </c>
      <c r="C33" s="11" t="str">
        <f>+D12</f>
        <v>mg</v>
      </c>
      <c r="D33" s="16" t="s">
        <v>56</v>
      </c>
      <c r="E33" s="16"/>
      <c r="F33" s="26"/>
    </row>
    <row r="34" spans="1:6" ht="12.75" thickBot="1">
      <c r="A34" s="29" t="str">
        <f>+A11</f>
        <v>Ciclofosfamida</v>
      </c>
      <c r="B34" s="33">
        <f>+D19</f>
        <v>394.3177706010052</v>
      </c>
      <c r="C34" s="30" t="str">
        <f>+D11</f>
        <v>mg</v>
      </c>
      <c r="D34" s="34" t="s">
        <v>57</v>
      </c>
      <c r="E34" s="34"/>
      <c r="F34" s="35"/>
    </row>
    <row r="35" spans="1:7" ht="12.75" thickTop="1">
      <c r="A35" s="19" t="s">
        <v>61</v>
      </c>
      <c r="G35" s="17"/>
    </row>
    <row r="36" spans="1:7" ht="12">
      <c r="A36" s="19" t="s">
        <v>58</v>
      </c>
      <c r="G36" s="17"/>
    </row>
    <row r="37" spans="1:7" ht="12">
      <c r="A37" s="18" t="s">
        <v>48</v>
      </c>
      <c r="B37" s="18" t="s">
        <v>49</v>
      </c>
      <c r="G37" s="17"/>
    </row>
    <row r="38" ht="12">
      <c r="A38" t="s">
        <v>45</v>
      </c>
    </row>
    <row r="41" ht="12">
      <c r="A41" s="19"/>
    </row>
    <row r="42" spans="3:6" ht="12">
      <c r="C42" s="18"/>
      <c r="D42" s="18"/>
      <c r="E42" s="18"/>
      <c r="F42" s="1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F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13</v>
      </c>
    </row>
    <row r="4" ht="12">
      <c r="A4" s="1" t="s">
        <v>163</v>
      </c>
    </row>
    <row r="5" spans="1:3" ht="12">
      <c r="A5" t="s">
        <v>125</v>
      </c>
      <c r="C5" s="1" t="s">
        <v>63</v>
      </c>
    </row>
    <row r="6" spans="1:7" s="1" customFormat="1" ht="12">
      <c r="A6" t="s">
        <v>126</v>
      </c>
      <c r="B6"/>
      <c r="C6" s="18" t="s">
        <v>70</v>
      </c>
      <c r="D6"/>
      <c r="E6"/>
      <c r="F6"/>
      <c r="G6"/>
    </row>
    <row r="7" spans="1:3" ht="12">
      <c r="A7" t="s">
        <v>127</v>
      </c>
      <c r="C7" t="s">
        <v>62</v>
      </c>
    </row>
    <row r="8" spans="1:3" ht="12">
      <c r="A8" t="s">
        <v>162</v>
      </c>
      <c r="C8" t="s">
        <v>16</v>
      </c>
    </row>
    <row r="9" spans="1:7" ht="12">
      <c r="A9" s="1" t="s">
        <v>128</v>
      </c>
      <c r="B9" s="1"/>
      <c r="C9" s="1"/>
      <c r="D9" s="1"/>
      <c r="E9" s="1"/>
      <c r="F9" s="1"/>
      <c r="G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2" t="s">
        <v>18</v>
      </c>
      <c r="B11" s="9" t="s">
        <v>129</v>
      </c>
      <c r="C11" s="7">
        <v>50</v>
      </c>
      <c r="D11" s="3" t="s">
        <v>26</v>
      </c>
    </row>
    <row r="12" spans="1:5" ht="12">
      <c r="A12" s="59" t="s">
        <v>37</v>
      </c>
      <c r="B12" s="60"/>
      <c r="C12" s="61">
        <v>160</v>
      </c>
      <c r="E12" s="63" t="s">
        <v>39</v>
      </c>
    </row>
    <row r="13" spans="1:5" ht="12">
      <c r="A13" s="59" t="s">
        <v>38</v>
      </c>
      <c r="B13" s="60"/>
      <c r="C13" s="61">
        <v>56</v>
      </c>
      <c r="E13" s="6" t="s">
        <v>40</v>
      </c>
    </row>
    <row r="14" spans="1:5" ht="12">
      <c r="A14" s="59" t="s">
        <v>134</v>
      </c>
      <c r="B14" s="60"/>
      <c r="C14" s="62">
        <f>0.20274*POWER(C12/100,0.725)*POWER(C13,0.425)</f>
        <v>1.5772710824040208</v>
      </c>
      <c r="E14" s="64" t="s">
        <v>72</v>
      </c>
    </row>
    <row r="15" spans="1:5" ht="12">
      <c r="A15" s="59" t="s">
        <v>135</v>
      </c>
      <c r="B15" s="60"/>
      <c r="C15" s="61">
        <v>100</v>
      </c>
      <c r="E15" s="63" t="s">
        <v>41</v>
      </c>
    </row>
    <row r="16" ht="12">
      <c r="A16" s="1" t="s">
        <v>136</v>
      </c>
    </row>
    <row r="17" spans="1:6" ht="12">
      <c r="A17" t="s">
        <v>130</v>
      </c>
      <c r="B17" s="3" t="s">
        <v>137</v>
      </c>
      <c r="C17" s="3" t="s">
        <v>138</v>
      </c>
      <c r="D17" s="15" t="s">
        <v>139</v>
      </c>
      <c r="E17" s="3" t="s">
        <v>22</v>
      </c>
      <c r="F17" s="3" t="s">
        <v>23</v>
      </c>
    </row>
    <row r="18" spans="1:6" ht="12.75" thickBot="1">
      <c r="A18" t="str">
        <f>+$A$11</f>
        <v>Fludarabina</v>
      </c>
      <c r="B18" s="7">
        <v>25</v>
      </c>
      <c r="C18" s="4">
        <f>+B18*$C$14</f>
        <v>39.43177706010052</v>
      </c>
      <c r="D18" s="4">
        <f>+C18*$C$15/100</f>
        <v>39.43177706010052</v>
      </c>
      <c r="E18" s="8">
        <f>+D18/C11</f>
        <v>0.7886355412020104</v>
      </c>
      <c r="F18" s="4">
        <f>IF(INT(E18)=E18,E18,INT(E18)+1)*5</f>
        <v>5</v>
      </c>
    </row>
    <row r="19" spans="1:5" ht="12.75" thickTop="1">
      <c r="A19" s="21" t="s">
        <v>24</v>
      </c>
      <c r="B19" s="22"/>
      <c r="C19" s="23"/>
      <c r="D19" s="23"/>
      <c r="E19" s="24"/>
    </row>
    <row r="20" spans="1:5" ht="12">
      <c r="A20" s="25" t="s">
        <v>130</v>
      </c>
      <c r="B20" s="11" t="s">
        <v>131</v>
      </c>
      <c r="C20" s="11" t="s">
        <v>29</v>
      </c>
      <c r="D20" s="11" t="s">
        <v>30</v>
      </c>
      <c r="E20" s="27" t="s">
        <v>25</v>
      </c>
    </row>
    <row r="21" spans="1:5" ht="12">
      <c r="A21" s="25" t="str">
        <f>+$A$11</f>
        <v>Fludarabina</v>
      </c>
      <c r="B21" s="11" t="str">
        <f>+B11</f>
        <v>Amp</v>
      </c>
      <c r="C21" s="11">
        <f>+C11</f>
        <v>50</v>
      </c>
      <c r="D21" s="11" t="str">
        <f>+D11</f>
        <v>mg</v>
      </c>
      <c r="E21" s="27">
        <f>+F18</f>
        <v>5</v>
      </c>
    </row>
    <row r="22" spans="1:7" ht="12">
      <c r="A22" s="25" t="s">
        <v>35</v>
      </c>
      <c r="B22" s="11" t="s">
        <v>129</v>
      </c>
      <c r="C22" s="11">
        <v>4</v>
      </c>
      <c r="D22" s="11" t="s">
        <v>26</v>
      </c>
      <c r="E22" s="27">
        <v>10</v>
      </c>
      <c r="G22" s="17"/>
    </row>
    <row r="23" spans="1:7" ht="12.75" thickBot="1">
      <c r="A23" s="29" t="s">
        <v>36</v>
      </c>
      <c r="B23" s="30" t="s">
        <v>129</v>
      </c>
      <c r="C23" s="30">
        <v>8</v>
      </c>
      <c r="D23" s="30" t="s">
        <v>26</v>
      </c>
      <c r="E23" s="55">
        <v>5</v>
      </c>
      <c r="G23" s="17"/>
    </row>
    <row r="24" spans="1:7" ht="13.5" thickBot="1" thickTop="1">
      <c r="A24" s="56"/>
      <c r="B24" s="57"/>
      <c r="C24" s="57"/>
      <c r="D24" s="57"/>
      <c r="E24" s="57"/>
      <c r="F24" s="56"/>
      <c r="G24" s="17"/>
    </row>
    <row r="25" spans="1:7" ht="12.75" thickTop="1">
      <c r="A25" s="21" t="s">
        <v>31</v>
      </c>
      <c r="B25" s="23"/>
      <c r="C25" s="23"/>
      <c r="D25" s="23"/>
      <c r="E25" s="23"/>
      <c r="F25" s="24"/>
      <c r="G25" s="17"/>
    </row>
    <row r="26" spans="1:6" ht="12">
      <c r="A26" s="31" t="s">
        <v>32</v>
      </c>
      <c r="B26" s="14" t="s">
        <v>164</v>
      </c>
      <c r="C26" s="14" t="s">
        <v>30</v>
      </c>
      <c r="D26" s="13" t="s">
        <v>126</v>
      </c>
      <c r="E26" s="10"/>
      <c r="F26" s="26"/>
    </row>
    <row r="27" spans="1:6" ht="12">
      <c r="A27" s="25" t="s">
        <v>33</v>
      </c>
      <c r="B27" s="11">
        <v>8</v>
      </c>
      <c r="C27" s="11" t="s">
        <v>26</v>
      </c>
      <c r="D27" s="16" t="s">
        <v>64</v>
      </c>
      <c r="E27" s="16"/>
      <c r="F27" s="26"/>
    </row>
    <row r="28" spans="1:6" ht="12">
      <c r="A28" s="25" t="s">
        <v>35</v>
      </c>
      <c r="B28" s="11">
        <v>8</v>
      </c>
      <c r="C28" s="11" t="s">
        <v>26</v>
      </c>
      <c r="D28" s="16" t="s">
        <v>64</v>
      </c>
      <c r="E28" s="16"/>
      <c r="F28" s="26"/>
    </row>
    <row r="29" spans="1:6" ht="12">
      <c r="A29" s="31" t="s">
        <v>98</v>
      </c>
      <c r="B29" s="11"/>
      <c r="C29" s="11"/>
      <c r="D29" s="16"/>
      <c r="E29" s="16"/>
      <c r="F29" s="26"/>
    </row>
    <row r="30" spans="1:6" ht="12.75" thickBot="1">
      <c r="A30" s="29" t="str">
        <f>+A11</f>
        <v>Fludarabina</v>
      </c>
      <c r="B30" s="33">
        <f>+D18</f>
        <v>39.43177706010052</v>
      </c>
      <c r="C30" s="30" t="str">
        <f>+D11</f>
        <v>mg</v>
      </c>
      <c r="D30" s="34" t="s">
        <v>65</v>
      </c>
      <c r="E30" s="34"/>
      <c r="F30" s="35"/>
    </row>
    <row r="31" spans="1:7" ht="12.75" thickTop="1">
      <c r="A31" s="19" t="s">
        <v>66</v>
      </c>
      <c r="G31" s="17"/>
    </row>
    <row r="32" spans="1:7" ht="12">
      <c r="A32" s="19" t="s">
        <v>67</v>
      </c>
      <c r="G32" s="17"/>
    </row>
    <row r="33" spans="1:7" ht="12">
      <c r="A33" s="18" t="s">
        <v>48</v>
      </c>
      <c r="B33" s="18" t="s">
        <v>49</v>
      </c>
      <c r="G33" s="17"/>
    </row>
    <row r="34" ht="12">
      <c r="A34" t="s">
        <v>45</v>
      </c>
    </row>
    <row r="37" ht="12">
      <c r="A37" s="19"/>
    </row>
    <row r="38" spans="3:6" ht="12">
      <c r="C38" s="18"/>
      <c r="D38" s="18"/>
      <c r="E38" s="18"/>
      <c r="F38" s="1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6" ht="15">
      <c r="A1" s="89" t="s">
        <v>107</v>
      </c>
      <c r="B1" s="45"/>
      <c r="C1" s="46"/>
      <c r="D1" s="50"/>
      <c r="E1" s="45"/>
      <c r="F1" s="45"/>
    </row>
    <row r="2" spans="1:6" ht="12">
      <c r="A2" s="90" t="s">
        <v>110</v>
      </c>
      <c r="B2" s="45"/>
      <c r="C2" s="45"/>
      <c r="D2" s="49"/>
      <c r="E2" s="45"/>
      <c r="F2" s="45"/>
    </row>
    <row r="3" spans="1:6" ht="12">
      <c r="A3" s="47" t="s">
        <v>109</v>
      </c>
      <c r="B3" s="45"/>
      <c r="C3" s="45"/>
      <c r="D3" s="45"/>
      <c r="E3" s="45"/>
      <c r="F3" s="91" t="s">
        <v>83</v>
      </c>
    </row>
    <row r="4" ht="12">
      <c r="A4" s="1" t="s">
        <v>163</v>
      </c>
    </row>
    <row r="5" spans="1:3" ht="12">
      <c r="A5" t="s">
        <v>125</v>
      </c>
      <c r="C5" s="1" t="s">
        <v>69</v>
      </c>
    </row>
    <row r="6" spans="1:7" s="1" customFormat="1" ht="12">
      <c r="A6" t="s">
        <v>126</v>
      </c>
      <c r="B6"/>
      <c r="C6" s="18" t="s">
        <v>50</v>
      </c>
      <c r="D6"/>
      <c r="E6"/>
      <c r="F6"/>
      <c r="G6"/>
    </row>
    <row r="7" spans="1:3" ht="12">
      <c r="A7" t="s">
        <v>127</v>
      </c>
      <c r="C7" t="s">
        <v>62</v>
      </c>
    </row>
    <row r="8" spans="1:3" ht="12">
      <c r="A8" t="s">
        <v>162</v>
      </c>
      <c r="C8" t="s">
        <v>16</v>
      </c>
    </row>
    <row r="9" spans="1:7" ht="12">
      <c r="A9" s="1" t="s">
        <v>128</v>
      </c>
      <c r="B9" s="1"/>
      <c r="C9" s="1"/>
      <c r="D9" s="1"/>
      <c r="E9" s="1"/>
      <c r="F9" s="1"/>
      <c r="G9" s="1"/>
    </row>
    <row r="10" spans="1:4" ht="12">
      <c r="A10" t="s">
        <v>130</v>
      </c>
      <c r="B10" s="3" t="s">
        <v>131</v>
      </c>
      <c r="C10" s="3" t="s">
        <v>29</v>
      </c>
      <c r="D10" s="3" t="s">
        <v>30</v>
      </c>
    </row>
    <row r="11" spans="1:4" ht="12">
      <c r="A11" s="2" t="s">
        <v>51</v>
      </c>
      <c r="B11" s="9" t="s">
        <v>52</v>
      </c>
      <c r="C11" s="7">
        <v>2</v>
      </c>
      <c r="D11" s="3" t="s">
        <v>26</v>
      </c>
    </row>
    <row r="12" spans="1:5" ht="12">
      <c r="A12" s="59" t="s">
        <v>37</v>
      </c>
      <c r="B12" s="60"/>
      <c r="C12" s="61">
        <v>160</v>
      </c>
      <c r="E12" s="63" t="s">
        <v>39</v>
      </c>
    </row>
    <row r="13" spans="1:5" ht="12">
      <c r="A13" s="59" t="s">
        <v>38</v>
      </c>
      <c r="B13" s="60"/>
      <c r="C13" s="61">
        <v>56</v>
      </c>
      <c r="E13" s="6" t="s">
        <v>40</v>
      </c>
    </row>
    <row r="14" spans="1:5" ht="12">
      <c r="A14" s="59" t="s">
        <v>134</v>
      </c>
      <c r="B14" s="60"/>
      <c r="C14" s="62">
        <f>0.20274*POWER(C12/100,0.725)*POWER(C13,0.425)</f>
        <v>1.5772710824040208</v>
      </c>
      <c r="E14" s="64" t="s">
        <v>72</v>
      </c>
    </row>
    <row r="15" spans="1:5" ht="12">
      <c r="A15" s="59" t="s">
        <v>135</v>
      </c>
      <c r="B15" s="60"/>
      <c r="C15" s="61">
        <v>100</v>
      </c>
      <c r="E15" s="63" t="s">
        <v>41</v>
      </c>
    </row>
    <row r="16" ht="12">
      <c r="A16" s="1" t="s">
        <v>136</v>
      </c>
    </row>
    <row r="17" spans="1:6" ht="12">
      <c r="A17" t="s">
        <v>130</v>
      </c>
      <c r="B17" s="3" t="s">
        <v>137</v>
      </c>
      <c r="C17" s="3" t="s">
        <v>138</v>
      </c>
      <c r="D17" s="15" t="s">
        <v>139</v>
      </c>
      <c r="E17" s="3" t="s">
        <v>22</v>
      </c>
      <c r="F17" s="3" t="s">
        <v>23</v>
      </c>
    </row>
    <row r="18" spans="1:6" ht="12.75" thickBot="1">
      <c r="A18" t="str">
        <f>+$A$11</f>
        <v>Clorambucilo</v>
      </c>
      <c r="B18" s="7">
        <v>40</v>
      </c>
      <c r="C18" s="4">
        <f>+B18*$C$14</f>
        <v>63.090843296160834</v>
      </c>
      <c r="D18" s="4">
        <f>+C18*$C$15/100</f>
        <v>63.09084329616084</v>
      </c>
      <c r="E18" s="8">
        <f>+D18/C11</f>
        <v>31.54542164808042</v>
      </c>
      <c r="F18" s="4">
        <f>IF(INT(E18)=E18,E18,INT(E18)+1)*1</f>
        <v>32</v>
      </c>
    </row>
    <row r="19" spans="1:5" ht="12.75" thickTop="1">
      <c r="A19" s="21" t="s">
        <v>24</v>
      </c>
      <c r="B19" s="22"/>
      <c r="C19" s="23"/>
      <c r="D19" s="23"/>
      <c r="E19" s="24"/>
    </row>
    <row r="20" spans="1:5" ht="12">
      <c r="A20" s="25" t="s">
        <v>130</v>
      </c>
      <c r="B20" s="11" t="s">
        <v>131</v>
      </c>
      <c r="C20" s="11" t="s">
        <v>29</v>
      </c>
      <c r="D20" s="11" t="s">
        <v>30</v>
      </c>
      <c r="E20" s="27" t="s">
        <v>25</v>
      </c>
    </row>
    <row r="21" spans="1:5" ht="12">
      <c r="A21" s="25" t="str">
        <f>+$A$11</f>
        <v>Clorambucilo</v>
      </c>
      <c r="B21" s="11" t="str">
        <f>+B11</f>
        <v>Tabletas</v>
      </c>
      <c r="C21" s="11">
        <f>+C11</f>
        <v>2</v>
      </c>
      <c r="D21" s="11" t="str">
        <f>+D11</f>
        <v>mg</v>
      </c>
      <c r="E21" s="27">
        <f>+F18</f>
        <v>32</v>
      </c>
    </row>
    <row r="22" spans="1:7" ht="12.75" thickBot="1">
      <c r="A22" s="29" t="s">
        <v>36</v>
      </c>
      <c r="B22" s="30" t="s">
        <v>52</v>
      </c>
      <c r="C22" s="30">
        <v>8</v>
      </c>
      <c r="D22" s="30" t="s">
        <v>26</v>
      </c>
      <c r="E22" s="55">
        <v>1</v>
      </c>
      <c r="G22" s="17"/>
    </row>
    <row r="23" spans="1:7" ht="13.5" thickBot="1" thickTop="1">
      <c r="A23" s="56"/>
      <c r="B23" s="57"/>
      <c r="C23" s="57"/>
      <c r="D23" s="57"/>
      <c r="E23" s="57"/>
      <c r="F23" s="56"/>
      <c r="G23" s="17"/>
    </row>
    <row r="24" spans="1:7" ht="12.75" thickTop="1">
      <c r="A24" s="21" t="s">
        <v>31</v>
      </c>
      <c r="B24" s="23"/>
      <c r="C24" s="23"/>
      <c r="D24" s="23"/>
      <c r="E24" s="23"/>
      <c r="F24" s="24"/>
      <c r="G24" s="17"/>
    </row>
    <row r="25" spans="1:6" ht="12">
      <c r="A25" s="31" t="s">
        <v>32</v>
      </c>
      <c r="B25" s="14" t="s">
        <v>164</v>
      </c>
      <c r="C25" s="14" t="s">
        <v>30</v>
      </c>
      <c r="D25" s="13" t="s">
        <v>126</v>
      </c>
      <c r="E25" s="10"/>
      <c r="F25" s="26"/>
    </row>
    <row r="26" spans="1:6" ht="12">
      <c r="A26" s="25" t="s">
        <v>33</v>
      </c>
      <c r="B26" s="11">
        <v>8</v>
      </c>
      <c r="C26" s="11" t="s">
        <v>26</v>
      </c>
      <c r="D26" s="16" t="s">
        <v>53</v>
      </c>
      <c r="E26" s="16"/>
      <c r="F26" s="26"/>
    </row>
    <row r="27" spans="1:6" ht="12">
      <c r="A27" s="31" t="s">
        <v>98</v>
      </c>
      <c r="B27" s="11"/>
      <c r="C27" s="11"/>
      <c r="D27" s="16"/>
      <c r="E27" s="16"/>
      <c r="F27" s="26"/>
    </row>
    <row r="28" spans="1:6" ht="12.75" thickBot="1">
      <c r="A28" s="29" t="str">
        <f>+A11</f>
        <v>Clorambucilo</v>
      </c>
      <c r="B28" s="33">
        <f>+D18</f>
        <v>63.09084329616084</v>
      </c>
      <c r="C28" s="30" t="str">
        <f>+D11</f>
        <v>mg</v>
      </c>
      <c r="D28" s="34" t="s">
        <v>54</v>
      </c>
      <c r="E28" s="34"/>
      <c r="F28" s="35"/>
    </row>
    <row r="29" spans="1:7" ht="12.75" thickTop="1">
      <c r="A29" s="19" t="s">
        <v>55</v>
      </c>
      <c r="G29" s="17"/>
    </row>
    <row r="30" spans="1:7" ht="12">
      <c r="A30" s="18" t="s">
        <v>48</v>
      </c>
      <c r="B30" s="18" t="s">
        <v>49</v>
      </c>
      <c r="G30" s="17"/>
    </row>
    <row r="31" ht="12">
      <c r="A31" t="s">
        <v>45</v>
      </c>
    </row>
    <row r="34" ht="12">
      <c r="A34" s="19"/>
    </row>
    <row r="35" spans="3:6" ht="12">
      <c r="C35" s="18"/>
      <c r="D35" s="18"/>
      <c r="E35" s="18"/>
      <c r="F35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2004-11-21T12:48:59Z</cp:lastPrinted>
  <dcterms:created xsi:type="dcterms:W3CDTF">2004-10-16T15:27:29Z</dcterms:created>
  <dcterms:modified xsi:type="dcterms:W3CDTF">2010-08-02T03:02:30Z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